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TOLIMA\2021-73-2000013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<sst xmlns="http://schemas.openxmlformats.org/spreadsheetml/2006/main" count="3121" uniqueCount="2701">
  <si>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</si>
  <si>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</si>
  <si>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</si>
  <si>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</si>
  <si>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</si>
  <si>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</si>
  <si>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</si>
  <si>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</si>
  <si>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</si>
  <si>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</si>
  <si>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</si>
  <si>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</si>
  <si>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</si>
  <si>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</si>
  <si>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</si>
  <si>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</si>
  <si>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</si>
  <si>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</si>
  <si>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</si>
  <si>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</si>
  <si>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</si>
  <si>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</si>
  <si>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</si>
  <si>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</si>
  <si>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</si>
  <si>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</si>
  <si>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</si>
  <si>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</si>
  <si>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</si>
  <si>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</si>
  <si>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</si>
  <si>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</si>
  <si>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</si>
  <si>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</si>
  <si>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</si>
  <si>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</si>
  <si>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</si>
  <si>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</si>
  <si>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</si>
  <si>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</si>
  <si>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</si>
  <si>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</si>
  <si>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</si>
  <si>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</si>
  <si>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</si>
  <si>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</si>
  <si>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</si>
  <si>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</si>
  <si>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</si>
  <si>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</si>
  <si>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</si>
  <si>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</si>
  <si>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</si>
  <si>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</si>
  <si>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</si>
  <si>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</si>
  <si>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</si>
  <si>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</si>
  <si>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</si>
  <si>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</si>
  <si>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</si>
  <si>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</si>
  <si>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</si>
  <si>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</si>
  <si>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</si>
  <si>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</si>
  <si>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</si>
  <si>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</si>
  <si>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</si>
  <si>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</si>
  <si>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</si>
  <si>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</si>
  <si>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</si>
  <si>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</si>
  <si>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</si>
  <si>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</si>
  <si>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</si>
  <si>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</si>
  <si>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</si>
  <si>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</si>
  <si>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</si>
  <si>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</si>
  <si>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</si>
  <si>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</si>
  <si>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</si>
  <si>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</si>
  <si>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</si>
  <si>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</si>
  <si>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</si>
  <si>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</si>
  <si>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</si>
  <si>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</si>
  <si>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</si>
  <si>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</si>
  <si>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</si>
  <si>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</si>
  <si>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</si>
  <si>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</si>
  <si>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</si>
  <si>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</si>
  <si>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</si>
  <si>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</si>
  <si>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</si>
  <si>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</si>
  <si>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</si>
  <si>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</si>
  <si>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</si>
  <si>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</si>
  <si>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</si>
  <si>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</si>
  <si>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</si>
  <si>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</si>
  <si>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</si>
  <si>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</si>
  <si>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</si>
  <si>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</si>
  <si>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</si>
  <si>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</si>
  <si>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</si>
  <si>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</si>
  <si>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</si>
  <si>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</si>
  <si>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</si>
  <si>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</si>
  <si>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</si>
  <si>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</si>
  <si>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</si>
  <si>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</si>
  <si>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</si>
  <si>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</si>
  <si>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</si>
  <si>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</si>
  <si>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</si>
  <si>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</si>
  <si>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</si>
  <si>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</si>
  <si>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</si>
  <si>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</si>
  <si>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</si>
  <si>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</si>
  <si>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</si>
  <si>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</si>
  <si>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</si>
  <si>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</si>
  <si>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</si>
  <si>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</si>
  <si>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</si>
  <si>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</si>
  <si>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</si>
  <si>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</si>
  <si>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</si>
  <si>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</si>
  <si>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</si>
  <si>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</si>
  <si>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</si>
  <si>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</si>
  <si>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</si>
  <si>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</si>
  <si>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</si>
  <si>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</si>
  <si>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</si>
  <si>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</si>
  <si>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</si>
  <si>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</si>
  <si>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</si>
  <si>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</si>
  <si>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</si>
  <si>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</si>
  <si>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</si>
  <si>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</si>
  <si>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</si>
  <si>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</si>
  <si>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</si>
  <si>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</si>
  <si>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</si>
  <si>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</si>
  <si>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</si>
  <si>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</si>
  <si>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</si>
  <si>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</si>
  <si>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</si>
  <si>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</si>
  <si>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</si>
  <si>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</si>
  <si>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</si>
  <si>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</si>
  <si>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</si>
  <si>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</si>
  <si>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</si>
  <si>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</si>
  <si>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</si>
  <si>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</si>
  <si>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</si>
  <si>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</si>
  <si>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</si>
  <si>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</si>
  <si>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</si>
  <si>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</si>
  <si>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</si>
  <si>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</si>
  <si>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</si>
  <si>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</si>
  <si>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</si>
  <si>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</si>
  <si>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</si>
  <si>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</si>
  <si>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</si>
  <si>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</si>
  <si>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</si>
  <si>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</si>
  <si>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</si>
  <si>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</si>
  <si>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</si>
  <si>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</si>
  <si>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</si>
  <si>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</si>
  <si>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</si>
  <si>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</si>
  <si>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</si>
  <si>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</si>
  <si>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</si>
  <si>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</si>
  <si>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</si>
  <si>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</si>
  <si>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</si>
  <si>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</si>
  <si>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</si>
  <si>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</si>
  <si>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</si>
  <si>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</si>
  <si>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</si>
  <si>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</si>
  <si>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</si>
  <si>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</si>
  <si>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</si>
  <si>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</si>
  <si>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</si>
  <si>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</si>
  <si>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</si>
  <si>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</si>
  <si>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</si>
  <si>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</si>
  <si>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</si>
  <si>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</si>
  <si>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</si>
  <si>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</si>
  <si>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</si>
  <si>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</si>
  <si>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</si>
  <si>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</si>
  <si>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</si>
  <si>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</si>
  <si>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</si>
  <si>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</si>
  <si>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</si>
  <si>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</si>
  <si>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</si>
  <si>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</si>
  <si>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</si>
  <si>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</si>
  <si>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</si>
  <si>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</si>
  <si>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</si>
  <si>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</si>
  <si>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</si>
  <si>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</si>
  <si>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</si>
  <si>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</si>
  <si>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</si>
  <si>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</si>
  <si>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</si>
  <si>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</si>
  <si>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</si>
  <si>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</si>
  <si>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</si>
  <si>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</si>
  <si>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</si>
  <si>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</si>
  <si>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</si>
  <si>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</si>
  <si>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</si>
  <si>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</si>
  <si>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</si>
  <si>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</si>
  <si>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</si>
  <si>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</si>
  <si>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</si>
  <si>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</si>
  <si>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</si>
  <si>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</si>
  <si>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</si>
  <si>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</si>
  <si>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</si>
  <si>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</si>
  <si>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</si>
  <si>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</si>
  <si>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</si>
  <si>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</si>
  <si>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</si>
  <si>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</si>
  <si>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</si>
  <si>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</si>
  <si>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</si>
  <si>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</si>
  <si>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</si>
  <si>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</si>
  <si>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</si>
  <si>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</si>
  <si>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</si>
  <si>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</si>
  <si>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</si>
  <si>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</si>
  <si>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</si>
  <si>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</si>
  <si>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</si>
  <si>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</si>
  <si>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</si>
  <si>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</si>
  <si>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</si>
  <si>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</si>
  <si>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</si>
  <si>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</si>
  <si>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</si>
  <si>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</si>
  <si>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</si>
  <si>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</si>
  <si>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</si>
  <si>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</si>
  <si>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</si>
  <si>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</si>
  <si>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</si>
  <si>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</si>
  <si>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</si>
  <si>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</si>
  <si>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</si>
  <si>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</si>
  <si>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</si>
  <si>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</si>
  <si>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</si>
  <si>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</si>
  <si>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</si>
  <si>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</si>
  <si>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</si>
  <si>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</si>
  <si>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</si>
  <si>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</si>
  <si>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</si>
  <si>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</si>
  <si>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</si>
  <si>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</si>
  <si>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</si>
  <si>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</si>
  <si>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</si>
  <si>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</si>
  <si>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</si>
  <si>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</si>
  <si>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</si>
  <si>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</si>
  <si>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</si>
  <si>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</si>
  <si>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</si>
  <si>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</si>
  <si>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</si>
  <si>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</si>
  <si>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</si>
  <si>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</si>
  <si>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</si>
  <si>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</si>
  <si>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</si>
  <si>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</si>
  <si>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</si>
  <si>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</si>
  <si>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</si>
  <si>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</si>
  <si>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</si>
  <si>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</si>
  <si>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</si>
  <si>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</si>
  <si>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</si>
  <si>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</si>
  <si>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</si>
  <si>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</si>
  <si>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</si>
  <si>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</si>
  <si>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</si>
  <si>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</si>
  <si>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</si>
  <si>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</si>
  <si>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</si>
  <si>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</si>
  <si>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</si>
  <si>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</si>
  <si>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</si>
  <si>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</si>
  <si>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</si>
  <si>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</si>
  <si>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</si>
  <si>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</si>
  <si>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</si>
  <si>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</si>
  <si>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</si>
  <si>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</si>
  <si>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</si>
  <si>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</si>
  <si>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</si>
  <si>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</si>
  <si>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</si>
  <si>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</si>
  <si>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</si>
  <si>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</si>
  <si>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</si>
  <si>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</si>
  <si>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</si>
  <si>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</si>
  <si>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</si>
  <si>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</si>
  <si>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</si>
  <si>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</si>
  <si>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</si>
  <si>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</si>
  <si>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</si>
  <si>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</si>
  <si>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</si>
  <si>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</si>
  <si>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</si>
  <si>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</si>
  <si>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</si>
  <si>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</si>
  <si>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</si>
  <si>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</si>
  <si>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</si>
  <si>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</si>
  <si>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</si>
  <si>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</si>
  <si>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</si>
  <si>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</si>
  <si>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</si>
  <si>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</si>
  <si>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</si>
  <si>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</si>
  <si>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</si>
  <si>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</si>
  <si>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</si>
  <si>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</si>
  <si>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</si>
  <si>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</si>
  <si>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</si>
  <si>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</si>
  <si>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</si>
  <si>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</si>
  <si>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</si>
  <si>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</si>
  <si>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</si>
  <si>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</si>
  <si>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</si>
  <si>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</si>
  <si>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</si>
  <si>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</si>
  <si>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</si>
  <si>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</si>
  <si>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</si>
  <si>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</si>
  <si>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</si>
  <si>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</si>
  <si>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</si>
  <si>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</si>
  <si>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</si>
  <si>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</si>
  <si>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</si>
  <si>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</si>
  <si>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</si>
  <si>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</si>
  <si>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</si>
  <si>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</si>
  <si>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</si>
  <si>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</si>
  <si>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</si>
  <si>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</si>
  <si>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</si>
  <si>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</si>
  <si>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</si>
  <si>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</si>
  <si>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</si>
  <si>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</si>
  <si>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</si>
  <si>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</si>
  <si>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</si>
  <si>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</si>
  <si>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</si>
  <si>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</si>
  <si>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</si>
  <si>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</si>
  <si>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</si>
  <si>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</si>
  <si>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</si>
  <si>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</si>
  <si>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</si>
  <si>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</si>
  <si>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</si>
  <si>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</si>
  <si>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</si>
  <si>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</si>
  <si>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</si>
  <si>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</si>
  <si>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</si>
  <si>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</si>
  <si>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</si>
  <si>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</si>
  <si>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</si>
  <si>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</si>
  <si>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</si>
  <si>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</si>
  <si>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</si>
  <si>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</si>
  <si>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</si>
  <si>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</si>
  <si>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</si>
  <si>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</si>
  <si>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</si>
  <si>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</si>
  <si>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</si>
  <si>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</si>
  <si>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</si>
  <si>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</si>
  <si>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</si>
  <si>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</si>
  <si>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</si>
  <si>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</si>
  <si>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</si>
  <si>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</si>
  <si>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</si>
  <si>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</si>
  <si>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</si>
  <si>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</si>
  <si>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</si>
  <si>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</si>
  <si>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</si>
  <si>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</si>
  <si>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</si>
  <si>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</si>
  <si>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</si>
  <si>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</si>
  <si>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</si>
  <si>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</si>
  <si>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</si>
  <si>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</si>
  <si>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</si>
  <si>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</si>
  <si>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</si>
  <si>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</si>
  <si>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</si>
  <si>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</si>
  <si>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</si>
  <si>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</si>
  <si>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</si>
  <si>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</si>
  <si>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</si>
  <si>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</si>
  <si>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</si>
  <si>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</si>
  <si>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</si>
  <si>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</si>
  <si>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</si>
  <si>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</si>
  <si>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</si>
  <si>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</si>
  <si>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</si>
  <si>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</si>
  <si>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</si>
  <si>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</si>
  <si>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</si>
  <si>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</si>
  <si>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</si>
  <si>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</si>
  <si>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</si>
  <si>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</si>
  <si>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</si>
  <si>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</si>
  <si>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</si>
  <si>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</si>
  <si>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</si>
  <si>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</si>
  <si>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</si>
  <si>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</si>
  <si>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</si>
  <si>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</si>
  <si>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</si>
  <si>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</si>
  <si>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</si>
  <si>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</si>
  <si>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</si>
  <si>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</si>
  <si>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</si>
  <si>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</si>
  <si>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</si>
  <si>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</si>
  <si>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</si>
  <si>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</si>
  <si>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</si>
  <si>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</si>
  <si>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</si>
  <si>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</si>
  <si>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</si>
  <si>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</si>
  <si>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</si>
  <si>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</si>
  <si>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</si>
  <si>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</si>
  <si>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</si>
  <si>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</si>
  <si>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</si>
  <si>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</si>
  <si>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</si>
  <si>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</si>
  <si>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</si>
  <si>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</si>
  <si>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</si>
  <si>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</si>
  <si>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</si>
  <si>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</si>
  <si>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</si>
  <si>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</si>
  <si>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</si>
  <si>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</si>
  <si>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</si>
  <si>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</si>
  <si>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</si>
  <si>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</si>
  <si>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</si>
  <si>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</si>
  <si>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</si>
  <si>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</si>
  <si>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</si>
  <si>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</si>
  <si>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</si>
  <si>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</si>
  <si>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</si>
  <si>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</si>
  <si>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</si>
  <si>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</si>
  <si>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</si>
  <si>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</si>
  <si>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</si>
  <si>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</si>
  <si>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</si>
  <si>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</si>
  <si>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</si>
  <si>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</si>
  <si>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</si>
  <si>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</si>
  <si>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</si>
  <si>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</si>
  <si>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</si>
  <si>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</si>
  <si>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</si>
  <si>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</si>
  <si>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</si>
  <si>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</si>
  <si>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</si>
  <si>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</si>
  <si>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</si>
  <si>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</si>
  <si>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</si>
  <si>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</si>
  <si>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</si>
  <si>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</si>
  <si>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</si>
  <si>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</si>
  <si>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</si>
  <si>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</si>
  <si>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</si>
  <si>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</si>
  <si>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</si>
  <si>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</si>
  <si>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</si>
  <si>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</si>
  <si>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</si>
  <si>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</si>
  <si>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</si>
  <si>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</si>
  <si>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</si>
  <si>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</si>
  <si>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</si>
  <si>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</si>
  <si>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</si>
  <si>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</si>
  <si>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</si>
  <si>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</si>
  <si>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</si>
  <si>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</si>
  <si>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</si>
  <si>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</si>
  <si>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</si>
  <si>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</si>
  <si>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</si>
  <si>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</si>
  <si>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</si>
  <si>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</si>
  <si>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</si>
  <si>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</si>
  <si>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</si>
  <si>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</si>
  <si>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</si>
  <si>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</si>
  <si>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</si>
  <si>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</si>
  <si>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</si>
  <si>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</si>
  <si>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</si>
  <si>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</si>
  <si>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</si>
  <si>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</si>
  <si>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</si>
  <si>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</si>
  <si>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</si>
  <si>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</si>
  <si>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</si>
  <si>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</si>
  <si>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</si>
  <si>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</si>
  <si>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</si>
  <si>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</si>
  <si>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</si>
  <si>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</si>
  <si>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</si>
  <si>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</si>
  <si>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</si>
  <si>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</si>
  <si>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</si>
  <si>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</si>
  <si>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</si>
  <si>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</si>
  <si>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</si>
  <si>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</si>
  <si>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</si>
  <si>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</si>
  <si>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</si>
  <si>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</si>
  <si>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</si>
  <si>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</si>
  <si>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</si>
  <si>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</si>
  <si>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</si>
  <si>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</si>
  <si>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</si>
  <si>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</si>
  <si>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</si>
  <si>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</si>
  <si>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</si>
  <si>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</si>
  <si>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</si>
  <si>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</si>
  <si>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</si>
  <si>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</si>
  <si>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</si>
  <si>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</si>
  <si>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</si>
  <si>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</si>
  <si>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</si>
  <si>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</si>
  <si>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</si>
  <si>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</si>
  <si>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</si>
  <si>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</si>
  <si>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</si>
  <si>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</si>
  <si>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</si>
  <si>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</si>
  <si>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</si>
  <si>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</si>
  <si>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</si>
  <si>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</si>
  <si>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</si>
  <si>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</si>
  <si>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</si>
  <si>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</si>
  <si>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</si>
  <si>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</si>
  <si>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</si>
  <si>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</si>
  <si>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</si>
  <si>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</si>
  <si>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</si>
  <si>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</si>
  <si>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</si>
  <si>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</si>
  <si>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</si>
  <si>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</si>
  <si>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</si>
  <si>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</si>
  <si>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</si>
  <si>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</si>
  <si>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</si>
  <si>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</si>
  <si>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</si>
  <si>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</si>
  <si>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</si>
  <si>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</si>
  <si>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</si>
  <si>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</si>
  <si>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</si>
  <si>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</si>
  <si>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</si>
  <si>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</si>
  <si>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</si>
  <si>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</si>
  <si>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</si>
  <si>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</si>
  <si>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</si>
  <si>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</si>
  <si>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</si>
  <si>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</si>
  <si>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</si>
  <si>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</si>
  <si>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</si>
  <si>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</si>
  <si>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</si>
  <si>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</si>
  <si>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</si>
  <si>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</si>
  <si>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</si>
  <si>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</si>
  <si>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</si>
  <si>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</si>
  <si>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</si>
  <si>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</si>
  <si>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</si>
  <si>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</si>
  <si>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</si>
  <si>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</si>
  <si>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</si>
  <si>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</si>
  <si>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</si>
  <si>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</si>
  <si>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</si>
  <si>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</si>
  <si>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</si>
  <si>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</si>
  <si>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</si>
  <si>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</si>
  <si>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</si>
  <si>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</si>
  <si>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</si>
  <si>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</si>
  <si>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</si>
  <si>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</si>
  <si>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</si>
  <si>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</si>
  <si>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</si>
  <si>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</si>
  <si>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</si>
  <si>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</si>
  <si>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</si>
  <si>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</si>
  <si>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</si>
  <si>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</si>
  <si>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</si>
  <si>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</si>
  <si>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</si>
  <si>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</si>
  <si>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</si>
  <si>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</si>
  <si>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</si>
  <si>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</si>
  <si>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</si>
  <si>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</si>
  <si>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</si>
  <si>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</si>
  <si>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</si>
  <si>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</si>
  <si>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</si>
  <si>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</si>
  <si>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</si>
  <si>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</si>
  <si>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</si>
  <si>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</si>
  <si>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</si>
  <si>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</si>
  <si>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</si>
  <si>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</si>
  <si>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</si>
  <si>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</si>
  <si>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</si>
  <si>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</si>
  <si>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</si>
  <si>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</si>
  <si>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</si>
  <si>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</si>
  <si>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</si>
  <si>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</si>
  <si>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</si>
  <si>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</si>
  <si>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</si>
  <si>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</si>
  <si>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</si>
  <si>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</si>
  <si>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</si>
  <si>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</si>
  <si>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</si>
  <si>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</si>
  <si>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</si>
  <si>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</si>
  <si>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</si>
  <si>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</si>
  <si>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</si>
  <si>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</si>
  <si>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</si>
  <si>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</si>
  <si>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</si>
  <si>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</si>
  <si>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</si>
  <si>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</si>
  <si>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</si>
  <si>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</si>
  <si>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</si>
  <si>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</si>
  <si>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</si>
  <si>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</si>
  <si>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</si>
  <si>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</si>
  <si>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</si>
  <si>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</si>
  <si>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</si>
  <si>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</si>
  <si>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</si>
  <si>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</si>
  <si>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</si>
  <si>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</si>
  <si>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</si>
  <si>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</si>
  <si>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</si>
  <si>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</si>
  <si>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</si>
  <si>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</si>
  <si>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</si>
  <si>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</si>
  <si>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</si>
  <si>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</si>
  <si>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</si>
  <si>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</si>
  <si>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</si>
  <si>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</si>
  <si>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</si>
  <si>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</si>
  <si>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</si>
  <si>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</si>
  <si>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</si>
  <si>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</si>
  <si>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</si>
  <si>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</si>
  <si>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</si>
  <si>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</si>
  <si>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</si>
  <si>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</si>
  <si>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</si>
  <si>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</si>
  <si>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</si>
  <si>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</si>
  <si>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</si>
  <si>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</si>
  <si>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</si>
  <si>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</si>
  <si>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</si>
  <si>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</si>
  <si>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</si>
  <si>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</si>
  <si>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</si>
  <si>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</si>
  <si>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</si>
  <si>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</si>
  <si>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</si>
  <si>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</si>
  <si>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</si>
  <si>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</si>
  <si>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</si>
  <si>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</si>
  <si>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</si>
  <si>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</si>
  <si>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</si>
  <si>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</si>
  <si>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</si>
  <si>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</si>
  <si>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</si>
  <si>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</si>
  <si>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</si>
  <si>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</si>
  <si>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</si>
  <si>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</si>
  <si>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</si>
  <si>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</si>
  <si>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</si>
  <si>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</si>
  <si>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</si>
  <si>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</si>
  <si>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</si>
  <si>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</si>
  <si>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</si>
  <si>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</si>
  <si>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</si>
  <si>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</si>
  <si>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</si>
  <si>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</si>
  <si>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</si>
  <si>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</si>
  <si>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</si>
  <si>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</si>
  <si>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</si>
  <si>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</si>
  <si>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</si>
  <si>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</si>
  <si>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</si>
  <si>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</si>
  <si>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</si>
  <si>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</si>
  <si>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</si>
  <si>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</si>
  <si>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</si>
  <si>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</si>
  <si>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</si>
  <si>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</si>
  <si>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</si>
  <si>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</si>
  <si>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</si>
  <si>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</si>
  <si>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</si>
  <si>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</si>
  <si>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</si>
  <si>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</si>
  <si>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</si>
  <si>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</si>
  <si>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</si>
  <si>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</si>
  <si>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</si>
  <si>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</si>
  <si>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</si>
  <si>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</si>
  <si>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</si>
  <si>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</si>
  <si>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</si>
  <si>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</si>
  <si>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</si>
  <si>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</si>
  <si>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</si>
  <si>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</si>
  <si>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</si>
  <si>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</si>
  <si>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</si>
  <si>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</si>
  <si>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</si>
  <si>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</si>
  <si>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</si>
  <si>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</si>
  <si>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</si>
  <si>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</si>
  <si>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</si>
  <si>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</si>
  <si>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</si>
  <si>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</si>
  <si>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</si>
  <si>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</si>
  <si>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</si>
  <si>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</si>
  <si>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</si>
  <si>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</si>
  <si>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</si>
  <si>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</si>
  <si>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</si>
  <si>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</si>
  <si>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</si>
  <si>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</si>
  <si>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</si>
  <si>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</si>
  <si>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</si>
  <si>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</si>
  <si>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</si>
  <si>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</si>
  <si>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</si>
  <si>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</si>
  <si>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</si>
  <si>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</si>
  <si>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</si>
  <si>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</si>
  <si>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</si>
  <si>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</si>
  <si>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</si>
  <si>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</si>
  <si>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</si>
  <si>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</si>
  <si>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</si>
  <si>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</si>
  <si>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</si>
  <si>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</si>
  <si>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</si>
  <si>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</si>
  <si>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</si>
  <si>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</si>
  <si>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</si>
  <si>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</si>
  <si>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</si>
  <si>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</si>
  <si>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</si>
  <si>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</si>
  <si>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</si>
  <si>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</si>
  <si>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</si>
  <si>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</si>
  <si>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</si>
  <si>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</si>
  <si>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</si>
  <si>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</si>
  <si>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</si>
  <si>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</si>
  <si>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</si>
  <si>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</si>
  <si>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</si>
  <si>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</si>
  <si>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</si>
  <si>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</si>
  <si>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</si>
  <si>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</si>
  <si>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</si>
  <si>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</si>
  <si>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</si>
  <si>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</si>
  <si>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</si>
  <si>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</si>
  <si>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</si>
  <si>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</si>
  <si>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</si>
  <si>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</si>
  <si>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</si>
  <si>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</si>
  <si>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</si>
  <si>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</si>
  <si>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</si>
  <si>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</si>
  <si>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</si>
  <si>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</si>
  <si>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</si>
  <si>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</si>
  <si>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</si>
  <si>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</si>
  <si>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</si>
  <si>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</si>
  <si>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</si>
  <si>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</si>
  <si>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</si>
  <si>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</si>
  <si>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</si>
  <si>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</si>
  <si>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</si>
  <si>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</si>
  <si>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</si>
  <si>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</si>
  <si>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</si>
  <si>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</si>
  <si>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</si>
  <si>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</si>
  <si>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</si>
  <si>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</si>
  <si>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</si>
  <si>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</si>
  <si>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</si>
  <si>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</si>
  <si>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</si>
  <si>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</si>
  <si>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</si>
  <si>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</si>
  <si>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</si>
  <si>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</si>
  <si>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</si>
  <si>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</si>
  <si>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</si>
  <si>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</si>
  <si>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</si>
  <si>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</si>
  <si>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</si>
  <si>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</si>
  <si>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</si>
  <si>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</si>
  <si>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</si>
  <si>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</si>
  <si>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</si>
  <si>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</si>
  <si>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</si>
  <si>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</si>
  <si>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</si>
  <si>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</si>
  <si>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</si>
  <si>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</si>
  <si>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</si>
  <si>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</si>
  <si>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</si>
  <si>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</si>
  <si>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</si>
  <si>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</si>
  <si>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</si>
  <si>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</si>
  <si>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</si>
  <si>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</si>
  <si>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</si>
  <si>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</si>
  <si>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</si>
  <si>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</si>
  <si>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</si>
  <si>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</si>
  <si>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</si>
  <si>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</si>
  <si>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</si>
  <si>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</si>
  <si>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</si>
  <si>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</si>
  <si>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</si>
  <si>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</si>
  <si>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</si>
  <si>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</si>
  <si>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</si>
  <si>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</si>
  <si>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</si>
  <si>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</si>
  <si>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</si>
  <si>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</si>
  <si>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</si>
  <si>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</si>
  <si>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</si>
  <si>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</si>
  <si>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</si>
  <si>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</si>
  <si>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</si>
  <si>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</si>
  <si>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</si>
  <si>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</si>
  <si>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</si>
  <si>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</si>
  <si>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</si>
  <si>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</si>
  <si>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</si>
  <si>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</si>
  <si>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</si>
  <si>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</si>
  <si>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</si>
  <si>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</si>
  <si>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</si>
  <si>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</si>
  <si>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</si>
  <si>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</si>
  <si>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</si>
  <si>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</si>
  <si>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</si>
  <si>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</si>
  <si>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</si>
  <si>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</si>
  <si>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</si>
  <si>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</si>
  <si>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</si>
  <si>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</si>
  <si>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</si>
  <si>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</si>
  <si>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</si>
  <si>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</si>
  <si>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</si>
  <si>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</si>
  <si>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</si>
  <si>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</si>
  <si>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</si>
  <si>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</si>
  <si>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</si>
  <si>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</si>
  <si>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</si>
  <si>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</si>
  <si>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</si>
  <si>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</si>
  <si>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</si>
  <si>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</si>
  <si>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</si>
  <si>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</si>
  <si>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</si>
  <si>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</si>
  <si>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</si>
  <si>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</si>
  <si>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</si>
  <si>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</si>
  <si>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</si>
  <si>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</si>
  <si>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</si>
  <si>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</si>
  <si>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</si>
  <si>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</si>
  <si>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</si>
  <si>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</si>
  <si>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</si>
  <si>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</si>
  <si>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</si>
  <si>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</si>
  <si>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</si>
  <si>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</si>
  <si>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</si>
  <si>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</si>
  <si>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</si>
  <si>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</si>
  <si>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</si>
  <si>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</si>
  <si>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</si>
  <si>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</si>
  <si>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</si>
  <si>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</si>
  <si>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</si>
  <si>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</si>
  <si>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</si>
  <si>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</si>
  <si>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</si>
  <si>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</si>
  <si>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</si>
  <si>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</si>
  <si>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</si>
  <si>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</si>
  <si>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</si>
  <si>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</si>
  <si>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</si>
  <si>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</si>
  <si>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</si>
  <si>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</si>
  <si>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</si>
  <si>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</si>
  <si>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</si>
  <si>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</si>
  <si>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</si>
  <si>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</si>
  <si>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</si>
  <si>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</si>
  <si>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</si>
  <si>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</si>
  <si>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</si>
  <si>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</si>
  <si>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</si>
  <si>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</si>
  <si>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</si>
  <si>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</si>
  <si>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</si>
  <si>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</si>
  <si>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</si>
  <si>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</si>
  <si>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</si>
  <si>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</si>
  <si>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</si>
  <si>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</si>
  <si>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</si>
  <si>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</si>
  <si>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</si>
  <si>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</si>
  <si>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</si>
  <si>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</si>
  <si>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</si>
  <si>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</si>
  <si>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</si>
  <si>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</si>
  <si>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</si>
  <si>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</si>
  <si>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</si>
  <si>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</si>
  <si>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</si>
  <si>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</si>
  <si>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</si>
  <si>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</si>
  <si>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</si>
  <si>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</si>
  <si>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</si>
  <si>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</si>
  <si>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</si>
  <si>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</si>
  <si>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</si>
  <si>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</si>
  <si>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</si>
  <si>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</si>
  <si>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</si>
  <si>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</si>
  <si>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</si>
  <si>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</si>
  <si>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</si>
  <si>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</si>
  <si>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</si>
  <si>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</si>
  <si>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</si>
  <si>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</si>
  <si>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</si>
  <si>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</si>
  <si>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</si>
  <si>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</si>
  <si>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</si>
  <si>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</si>
  <si>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</si>
  <si>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</si>
  <si>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</si>
  <si>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</si>
  <si>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</si>
  <si>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</si>
  <si>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</si>
  <si>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</si>
  <si>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</si>
  <si>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</si>
  <si>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</si>
  <si>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</si>
  <si>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</si>
  <si>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</si>
  <si>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</si>
  <si>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</si>
  <si>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</si>
  <si>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</si>
  <si>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</si>
  <si>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</si>
  <si>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</si>
  <si>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</si>
  <si>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</si>
  <si>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</si>
  <si>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</si>
  <si>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</si>
  <si>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</si>
  <si>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</si>
  <si>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</si>
  <si>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</si>
  <si>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</si>
  <si>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</si>
  <si>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</si>
  <si>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</si>
  <si>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</si>
  <si>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</si>
  <si>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</si>
  <si>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</si>
  <si>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</si>
  <si>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</si>
  <si>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</si>
  <si>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</si>
  <si>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</si>
  <si>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</si>
  <si>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</si>
  <si>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</si>
  <si>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</si>
  <si>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</si>
  <si>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</si>
  <si>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</si>
  <si>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</si>
  <si>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</si>
  <si>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</si>
  <si>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</si>
  <si>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</si>
  <si>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</si>
  <si>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</si>
  <si>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</si>
  <si>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</si>
  <si>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</si>
  <si>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</si>
  <si>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</si>
  <si>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</si>
  <si>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</si>
  <si>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</si>
  <si>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</si>
  <si>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</si>
  <si>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</si>
  <si>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</si>
  <si>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</si>
  <si>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</si>
  <si>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</si>
  <si>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</si>
  <si>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</si>
  <si>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</si>
  <si>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</si>
  <si>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</si>
  <si>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</si>
  <si>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</si>
  <si>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</si>
  <si>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</si>
  <si>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</si>
  <si>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</si>
  <si>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</si>
  <si>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</si>
  <si>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</si>
  <si>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</si>
  <si>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</si>
  <si>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</si>
  <si>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</si>
  <si>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</si>
  <si>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</si>
  <si>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</si>
  <si>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</si>
  <si>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</si>
  <si>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</si>
  <si>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</si>
  <si>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</si>
  <si>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</si>
  <si>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</si>
  <si>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</si>
  <si>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</si>
  <si>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</si>
  <si>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</si>
  <si>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</si>
  <si>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</si>
  <si>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</si>
  <si>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</si>
  <si>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</si>
  <si>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</si>
  <si>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</si>
  <si>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</si>
  <si>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</si>
  <si>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</si>
  <si>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</si>
  <si>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</si>
  <si>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</si>
  <si>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</si>
  <si>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</si>
  <si>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</si>
  <si>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</si>
  <si>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</si>
  <si>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</si>
  <si>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</si>
  <si>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</si>
  <si>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</si>
  <si>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</si>
  <si>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</si>
  <si>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</si>
  <si>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</si>
  <si>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</si>
  <si>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</si>
  <si>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</si>
  <si>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</si>
  <si>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</si>
  <si>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</si>
  <si>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</si>
  <si>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</si>
  <si>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</si>
  <si>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</si>
  <si>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</si>
  <si>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</si>
  <si>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</si>
  <si>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</si>
  <si>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</si>
  <si>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</si>
  <si>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</si>
  <si>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</si>
  <si>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</si>
  <si>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</si>
  <si>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</si>
  <si>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</si>
  <si>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</si>
  <si>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</si>
  <si>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</si>
  <si>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</si>
  <si>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</si>
  <si>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</si>
  <si>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</si>
  <si>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</si>
  <si>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</si>
  <si>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</si>
  <si>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</si>
  <si>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</si>
  <si>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</si>
  <si>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</si>
  <si>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</si>
  <si>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</si>
  <si>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</si>
  <si>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</si>
  <si>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</si>
  <si>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</si>
  <si>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</si>
  <si>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</si>
  <si>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</si>
  <si>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</si>
  <si>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</si>
  <si>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</si>
  <si>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</si>
  <si>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</si>
  <si>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</si>
  <si>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</si>
  <si>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</si>
  <si>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</si>
  <si>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</si>
  <si>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</si>
  <si>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</si>
  <si>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</si>
  <si>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</si>
  <si>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</si>
  <si>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</si>
  <si>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</si>
  <si>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</si>
  <si>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</si>
  <si>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</si>
  <si>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</si>
  <si>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</si>
  <si>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</si>
  <si>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</si>
  <si>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</si>
  <si>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</si>
  <si>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</si>
  <si>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</si>
  <si>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</si>
  <si>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</si>
  <si>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</si>
  <si>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</si>
  <si>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</si>
  <si>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</si>
  <si>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</si>
  <si>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</si>
  <si>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</si>
  <si>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</si>
  <si>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</si>
  <si>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</si>
  <si>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</si>
  <si>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</si>
  <si>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</si>
  <si>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</si>
  <si>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</si>
  <si>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</si>
  <si>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</si>
  <si>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</si>
  <si>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</si>
  <si>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</si>
  <si>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</si>
  <si>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</si>
  <si>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</si>
  <si>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</si>
  <si>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</si>
  <si>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</si>
  <si>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</si>
  <si>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</si>
  <si>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</si>
  <si>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</si>
  <si>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</si>
  <si>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</si>
  <si>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</si>
  <si>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</si>
  <si>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</si>
  <si>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</si>
  <si>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</si>
  <si>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</si>
  <si>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</si>
  <si>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</si>
  <si>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</si>
  <si>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</si>
  <si>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</si>
  <si>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</si>
  <si>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</si>
  <si>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</si>
  <si>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</si>
  <si>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</si>
  <si>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</si>
  <si>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</si>
  <si>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</si>
  <si>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</si>
  <si>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</si>
  <si>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</si>
  <si>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</si>
  <si>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</si>
  <si>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</si>
  <si>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</si>
  <si>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</si>
  <si>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</si>
  <si>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</si>
  <si>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</si>
  <si>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</si>
  <si>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</si>
  <si>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</si>
  <si>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</si>
  <si>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</si>
  <si>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</si>
  <si>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</si>
  <si>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</si>
  <si>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</si>
  <si>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</si>
  <si>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</si>
  <si>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</si>
  <si>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</si>
  <si>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</si>
  <si>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</si>
  <si>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</si>
  <si>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</si>
  <si>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</si>
  <si>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</si>
  <si>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</si>
  <si>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</si>
  <si>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</si>
  <si>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</si>
  <si>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</si>
  <si>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</si>
  <si>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</si>
  <si>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</si>
  <si>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</si>
  <si>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</si>
  <si>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</si>
  <si>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</si>
  <si>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</si>
  <si>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</si>
  <si>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</si>
  <si>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</si>
  <si>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</si>
  <si>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</si>
  <si>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</si>
  <si>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</si>
  <si>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</si>
  <si>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</si>
  <si>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</si>
  <si>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</si>
  <si>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</si>
  <si>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</si>
  <si>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</si>
  <si>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</si>
  <si>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</si>
  <si>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</si>
  <si>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</si>
  <si>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</si>
  <si>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</si>
  <si>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</si>
  <si>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</si>
  <si>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</si>
  <si>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</si>
  <si>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</si>
  <si>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</si>
  <si>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</si>
  <si>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</si>
  <si>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</si>
  <si>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</si>
  <si>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</si>
  <si>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</si>
  <si>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</si>
  <si>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</si>
  <si>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</si>
  <si>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</si>
  <si>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</si>
  <si>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</si>
  <si>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</si>
  <si>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</si>
  <si>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</si>
  <si>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</si>
  <si>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</si>
  <si>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</si>
  <si>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</si>
  <si>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</si>
  <si>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</si>
  <si>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</si>
  <si>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</si>
  <si>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</si>
  <si>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</si>
  <si>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</si>
  <si>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</si>
  <si>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</si>
  <si>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</si>
  <si>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</si>
  <si>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</si>
  <si>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</si>
  <si>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</si>
  <si>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</si>
  <si>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</si>
  <si>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</si>
  <si>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</si>
  <si>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</si>
  <si>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</si>
  <si>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</si>
  <si>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</si>
  <si>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</si>
  <si>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</si>
  <si>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</si>
  <si>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</si>
  <si>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</si>
  <si>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</si>
  <si>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</si>
  <si>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</si>
  <si>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</si>
  <si>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</si>
  <si>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</si>
  <si>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</si>
  <si>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</si>
  <si>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</si>
  <si>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</si>
  <si>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</si>
  <si>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</si>
  <si>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</si>
  <si>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</si>
  <si>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</si>
  <si>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</si>
  <si>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</si>
  <si>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</si>
  <si>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</si>
  <si>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</si>
  <si>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</si>
  <si>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</si>
  <si>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</si>
  <si>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</si>
  <si>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</si>
  <si>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</si>
  <si>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</si>
  <si>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</si>
  <si>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</si>
  <si>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</si>
  <si>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</si>
  <si>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</si>
  <si>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</si>
  <si>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</si>
  <si>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</si>
  <si>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</si>
  <si>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</si>
  <si>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</si>
  <si>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</si>
  <si>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</si>
  <si>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</si>
  <si>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</si>
  <si>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</si>
  <si>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</si>
  <si>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</si>
  <si>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</si>
  <si>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</si>
  <si>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</si>
  <si>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</si>
  <si>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</si>
  <si>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</si>
  <si>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</si>
  <si>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</si>
  <si>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</si>
  <si>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</si>
  <si>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</si>
  <si>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</si>
  <si>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</si>
  <si>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</si>
  <si>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</si>
  <si>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</si>
  <si>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</si>
  <si>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</si>
  <si>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</si>
  <si>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</si>
  <si>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</si>
  <si>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</si>
  <si>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</si>
  <si>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</si>
  <si>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</si>
  <si>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</si>
  <si>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</si>
  <si>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</si>
  <si>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</si>
  <si>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</si>
  <si>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</si>
  <si>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</si>
  <si>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</si>
  <si>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</si>
  <si>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</si>
  <si>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</si>
  <si>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</si>
  <si>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</si>
  <si>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</si>
  <si>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</si>
  <si>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</si>
  <si>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</si>
  <si>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</si>
  <si>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</si>
  <si>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</si>
  <si>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</si>
  <si>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</si>
  <si>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</si>
  <si>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</si>
  <si>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</si>
  <si>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</si>
  <si>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</si>
  <si>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</si>
  <si>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</si>
  <si>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</si>
  <si>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</si>
  <si>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</si>
  <si>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</si>
  <si>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</si>
  <si>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</si>
  <si>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</si>
  <si>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</si>
  <si>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</si>
  <si>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</si>
  <si>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</si>
  <si>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</si>
  <si>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</si>
  <si>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</si>
  <si>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</si>
  <si>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</si>
  <si>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</si>
  <si>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</si>
  <si>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</si>
  <si>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</si>
  <si>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</si>
  <si>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</si>
  <si>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</si>
  <si>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</si>
  <si>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</si>
  <si>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</si>
  <si>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</si>
  <si>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</si>
  <si>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</si>
  <si>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</si>
  <si>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</si>
  <si>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</si>
  <si>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</si>
  <si>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</si>
  <si>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</si>
  <si>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</si>
  <si>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</si>
  <si>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</si>
  <si>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</si>
  <si>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</si>
  <si>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</si>
  <si>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</si>
  <si>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</si>
  <si>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</si>
  <si>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</si>
  <si>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</si>
  <si>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</si>
  <si>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</si>
  <si>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</si>
  <si>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</si>
  <si>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</si>
  <si>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</si>
  <si>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</si>
  <si>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</si>
  <si>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</si>
  <si>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</si>
  <si>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</si>
  <si>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</si>
  <si>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</si>
  <si>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</si>
  <si>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</si>
  <si>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</si>
  <si>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</si>
  <si>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</si>
  <si>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</si>
  <si>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</si>
  <si>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</si>
  <si>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</si>
  <si>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</si>
  <si>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</si>
  <si>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</si>
  <si>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</si>
  <si>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</si>
  <si>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</si>
  <si>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</si>
  <si>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</si>
  <si>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</si>
  <si>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</si>
  <si>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</si>
  <si>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</si>
  <si>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</si>
  <si>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</si>
  <si>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</si>
  <si>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</si>
  <si>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</si>
  <si>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</si>
  <si>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</si>
  <si>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</si>
  <si>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</si>
  <si>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</si>
  <si>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</si>
  <si>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</si>
  <si>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</si>
  <si>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</si>
  <si>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</si>
  <si>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</si>
  <si>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</si>
  <si>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</si>
  <si>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</si>
  <si>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</si>
  <si>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</si>
  <si>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</si>
  <si>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</si>
  <si>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</si>
  <si>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</si>
  <si>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</si>
  <si>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</si>
  <si>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</si>
  <si>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</si>
  <si>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</si>
  <si>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</si>
  <si>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</si>
  <si>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</si>
  <si>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</si>
  <si>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</si>
  <si>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</si>
  <si>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</si>
  <si>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</si>
  <si>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</si>
  <si>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</si>
  <si>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</si>
  <si>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</si>
  <si>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</si>
  <si>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</si>
  <si>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</si>
  <si>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</si>
  <si>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</si>
  <si>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</si>
  <si>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</si>
  <si>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</si>
  <si>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</si>
  <si>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</si>
  <si>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</si>
  <si>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</si>
  <si>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</si>
  <si>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</si>
  <si>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</si>
  <si>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</si>
  <si>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</si>
  <si>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</si>
  <si>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</si>
  <si>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</si>
  <si>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</si>
  <si>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</si>
  <si>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</si>
  <si>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</si>
  <si>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</si>
  <si>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</si>
  <si>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</si>
  <si>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</si>
  <si>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</si>
  <si>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</si>
  <si>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</si>
  <si>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</si>
  <si>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</si>
  <si>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</si>
  <si>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</si>
  <si>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</si>
  <si>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</si>
  <si>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</si>
  <si>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</si>
  <si>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</si>
  <si>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</si>
  <si>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</si>
  <si>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</si>
  <si>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</si>
  <si>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</si>
  <si>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</si>
  <si>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</si>
  <si>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</si>
  <si>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</si>
  <si>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</si>
  <si>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</si>
  <si>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</si>
  <si>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</si>
  <si>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</si>
  <si>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</si>
  <si>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</si>
  <si>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</si>
  <si>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</si>
  <si>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</si>
  <si>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</si>
  <si>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</si>
  <si>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</si>
  <si>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</si>
  <si>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</si>
  <si>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</si>
  <si>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</si>
  <si>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</si>
  <si>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</si>
  <si>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</si>
  <si>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</si>
  <si>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</si>
  <si>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</si>
  <si>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</si>
  <si>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</si>
  <si>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</si>
  <si>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</si>
  <si>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</si>
  <si>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</si>
  <si>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</si>
  <si>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</si>
  <si>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</si>
  <si>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</si>
  <si>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</si>
  <si>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</si>
  <si>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</si>
  <si>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</si>
  <si>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</si>
  <si>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</si>
  <si>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</si>
  <si>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</si>
  <si>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</si>
  <si>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</si>
  <si>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</si>
  <si>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</si>
  <si>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</si>
  <si>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</si>
  <si>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</si>
  <si>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</si>
  <si>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</si>
  <si>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</si>
  <si>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</si>
  <si>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</si>
  <si>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</si>
  <si>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</si>
  <si>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</si>
  <si>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</si>
  <si>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</si>
  <si>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</si>
  <si>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</si>
  <si>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</si>
  <si>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</si>
  <si>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</si>
  <si>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</si>
  <si>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</si>
  <si>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</si>
  <si>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</si>
  <si>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</si>
  <si>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</si>
  <si>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</si>
  <si>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</si>
  <si>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</si>
  <si>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</si>
  <si>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</si>
  <si>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</si>
  <si>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</si>
  <si>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</si>
  <si>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</si>
  <si>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</si>
  <si>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</si>
  <si>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</si>
  <si>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</si>
  <si>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</si>
  <si>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</si>
  <si>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</si>
  <si>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</si>
  <si>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</si>
  <si>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</si>
  <si>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</si>
  <si>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</si>
  <si>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</si>
  <si>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</si>
  <si>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</si>
  <si>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</si>
  <si>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</si>
  <si>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</si>
  <si>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</si>
  <si>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</si>
  <si>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</si>
  <si>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</si>
  <si>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</si>
  <si>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</si>
  <si>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</si>
  <si>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</si>
  <si>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</si>
  <si>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</si>
  <si>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</si>
  <si>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</si>
  <si>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</si>
  <si>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</si>
  <si>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</si>
  <si>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</si>
  <si>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</si>
  <si>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</si>
  <si>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</si>
  <si>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</si>
  <si>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</si>
  <si>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</si>
  <si>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</si>
  <si>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</si>
  <si>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</si>
  <si>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</si>
  <si>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</si>
  <si>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</si>
  <si>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</si>
  <si>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</si>
  <si>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</si>
  <si>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</si>
  <si>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</si>
  <si>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</si>
  <si>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</si>
  <si>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</si>
  <si>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</si>
  <si>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</si>
  <si>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</si>
  <si>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</si>
  <si>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</si>
  <si>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</si>
  <si>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</si>
  <si>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</si>
  <si>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</si>
  <si>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</si>
  <si>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</si>
  <si>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</si>
  <si>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</si>
  <si>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</si>
  <si>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</si>
  <si>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</si>
  <si>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</si>
  <si>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</si>
  <si>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</si>
  <si>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</si>
  <si>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</si>
  <si>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</si>
  <si>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</si>
  <si>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</si>
  <si>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</si>
  <si>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</si>
  <si>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</si>
  <si>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</si>
  <si>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</si>
  <si>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</si>
  <si>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</si>
  <si>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</si>
  <si>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</si>
  <si>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</si>
  <si>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</si>
  <si>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</si>
  <si>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</si>
  <si>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</si>
  <si>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</si>
  <si>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</si>
  <si>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</si>
  <si>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</si>
  <si>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</si>
  <si>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</si>
  <si>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</si>
  <si>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</si>
  <si>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</si>
  <si>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</si>
  <si>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</si>
  <si>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</si>
  <si>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</si>
  <si>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</si>
  <si>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</si>
  <si>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</si>
  <si>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</si>
  <si>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</si>
  <si>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</si>
  <si>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</si>
  <si>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</si>
  <si>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</si>
  <si>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</si>
  <si>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</si>
  <si>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</si>
  <si>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</si>
  <si>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</si>
  <si>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</si>
  <si>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</si>
  <si>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</si>
  <si>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</si>
  <si>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</si>
  <si>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</si>
  <si>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</si>
  <si>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</si>
  <si>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</si>
  <si>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</si>
  <si>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</si>
  <si>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</si>
  <si>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</si>
  <si>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</si>
  <si>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</si>
  <si>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</si>
  <si>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</si>
  <si>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</si>
  <si>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</si>
  <si>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</si>
  <si>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</si>
  <si>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</si>
  <si>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</si>
  <si>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</si>
  <si>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</si>
  <si>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</si>
  <si>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</si>
  <si>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</si>
  <si>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</si>
  <si>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</si>
  <si>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</si>
  <si>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</si>
  <si>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</si>
  <si>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</si>
  <si>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</si>
  <si>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</si>
  <si>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</si>
  <si>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</si>
  <si>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</si>
  <si>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</si>
  <si>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</si>
  <si>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</si>
  <si>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</si>
  <si>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</si>
  <si>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</si>
  <si>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</si>
  <si>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</si>
  <si>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</si>
  <si>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</si>
  <si>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</si>
  <si>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</si>
  <si>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</si>
  <si>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</si>
  <si>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</si>
  <si>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</si>
  <si>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</si>
  <si>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</si>
  <si>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</si>
  <si>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</si>
  <si>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</si>
  <si>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</si>
  <si>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</si>
  <si>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</si>
  <si>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</si>
  <si>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</si>
  <si>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</si>
  <si>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</si>
  <si>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</si>
  <si>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</si>
  <si>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</si>
  <si>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</si>
  <si>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</si>
  <si>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</si>
  <si>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</si>
  <si>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</si>
  <si>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</si>
  <si>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</si>
  <si>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</si>
  <si>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</si>
  <si>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</si>
  <si>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</si>
  <si>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</si>
  <si>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</si>
  <si>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</si>
  <si>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</si>
  <si>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</si>
  <si>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</si>
  <si>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</si>
  <si>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</si>
  <si>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</si>
  <si>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</si>
  <si>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</si>
  <si>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</si>
  <si>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</si>
  <si>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</si>
  <si>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</si>
  <si>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</si>
  <si>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</si>
  <si>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</si>
  <si>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</si>
  <si>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</si>
  <si>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</si>
  <si>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</si>
  <si>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</si>
  <si>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</si>
  <si>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</si>
  <si>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</si>
  <si>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</si>
  <si>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</si>
  <si>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</si>
  <si>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</si>
  <si>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</si>
  <si>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</si>
  <si>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</si>
  <si>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</si>
  <si>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</si>
  <si>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</si>
  <si>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</si>
  <si>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</si>
  <si>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</si>
  <si>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</si>
  <si>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</si>
  <si>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</si>
  <si>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</si>
  <si>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</si>
  <si>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</si>
  <si>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</si>
  <si>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</si>
  <si>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</si>
  <si>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</si>
  <si>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</si>
  <si>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</si>
  <si>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</si>
  <si>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</si>
  <si>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</si>
  <si>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</si>
  <si>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</si>
  <si>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</si>
  <si>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</si>
  <si>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</si>
  <si>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</si>
  <si>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</si>
  <si>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</si>
  <si>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</si>
  <si>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</si>
  <si>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</si>
  <si>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</si>
  <si>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</si>
  <si>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</si>
  <si>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</si>
  <si>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</si>
  <si>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</si>
  <si>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</si>
  <si>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</si>
  <si>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</si>
  <si>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</si>
  <si>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</si>
  <si>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</si>
  <si>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</si>
  <si>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</si>
  <si>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</si>
  <si>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</si>
  <si>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</si>
  <si>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</si>
  <si>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</si>
  <si>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</si>
  <si>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</si>
  <si>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</si>
  <si>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</si>
  <si>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</si>
  <si>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</si>
  <si>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</si>
  <si>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</si>
  <si>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</si>
  <si>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</si>
  <si>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</si>
  <si>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</si>
  <si>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</si>
  <si>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</si>
  <si>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</si>
  <si>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</si>
  <si>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</si>
  <si>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</si>
  <si>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</si>
  <si>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</si>
  <si>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</si>
  <si>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</si>
  <si>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</si>
  <si>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</si>
  <si>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</si>
  <si>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</si>
  <si>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</si>
  <si>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</si>
  <si>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</si>
  <si>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</si>
  <si>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</si>
  <si>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</si>
  <si>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</si>
  <si>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</si>
  <si>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</si>
  <si>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</si>
  <si>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</si>
  <si>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</si>
  <si>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</si>
  <si>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</si>
  <si>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</si>
  <si>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</si>
  <si>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</si>
  <si>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</si>
  <si>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</si>
  <si>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</si>
  <si>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</si>
  <si>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</si>
  <si>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</si>
  <si>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</si>
  <si>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</si>
  <si>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</si>
  <si>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</si>
  <si>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</si>
  <si>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</si>
  <si>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</si>
  <si>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</si>
  <si>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</si>
  <si>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</si>
  <si>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</si>
  <si>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</si>
  <si>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</si>
  <si>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</si>
  <si>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</si>
  <si>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</si>
  <si>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</si>
  <si>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</si>
  <si>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</si>
  <si>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</si>
  <si>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</si>
  <si>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</si>
  <si>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</si>
  <si>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</si>
  <si>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</si>
  <si>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</si>
  <si>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</si>
  <si>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</si>
  <si>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</si>
  <si>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</si>
  <si>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</si>
  <si>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</si>
  <si>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</si>
  <si>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</si>
  <si>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</si>
  <si>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</si>
  <si>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</si>
  <si>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</si>
  <si>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</si>
  <si>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</si>
  <si>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</si>
  <si>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</si>
  <si>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</si>
  <si>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</si>
  <si>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</si>
  <si>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</si>
  <si>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</si>
  <si>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</si>
  <si>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</si>
  <si>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</si>
  <si>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</si>
  <si>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</si>
  <si>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</si>
  <si>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</si>
  <si>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</si>
  <si>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</si>
  <si>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</si>
  <si>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</si>
  <si>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</si>
  <si>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</si>
  <si>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</si>
  <si>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</si>
  <si>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</si>
  <si>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</si>
  <si>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</si>
  <si>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</si>
  <si>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</si>
  <si>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</si>
  <si>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</si>
  <si>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</si>
  <si>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</si>
  <si>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</si>
  <si>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</si>
  <si>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</si>
  <si>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</si>
  <si>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</si>
  <si>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</si>
  <si>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</si>
  <si>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</si>
  <si>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</si>
  <si>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</si>
  <si>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</si>
  <si>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</si>
  <si>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</si>
  <si>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</si>
  <si>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</si>
  <si>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</si>
  <si>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</si>
  <si>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</si>
  <si>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</si>
  <si>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</si>
  <si>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</si>
  <si>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</si>
  <si>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</si>
  <si>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</si>
  <si>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</si>
  <si>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</si>
  <si>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</si>
  <si>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</si>
  <si>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</si>
  <si>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</si>
  <si>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</si>
  <si>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</si>
  <si>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</si>
  <si>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</si>
  <si>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</si>
  <si>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</si>
  <si>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</si>
  <si>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</si>
  <si>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</si>
  <si>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</si>
  <si>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</si>
  <si>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</si>
  <si>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</si>
  <si>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</si>
  <si>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</si>
  <si>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</si>
  <si>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</si>
  <si>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</si>
  <si>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</si>
  <si>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</si>
  <si>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</si>
  <si>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</si>
  <si>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</si>
  <si>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</si>
  <si>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</si>
  <si>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</si>
  <si>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</si>
  <si>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</si>
  <si>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</si>
  <si>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</si>
  <si>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</si>
  <si>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</si>
  <si>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</si>
  <si>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</si>
  <si>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</si>
  <si>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</si>
  <si>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</si>
  <si>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</si>
  <si>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</si>
  <si>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</si>
  <si>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</si>
  <si>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</si>
  <si>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</si>
  <si>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</si>
  <si>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</si>
  <si>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</si>
  <si>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</si>
  <si>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</si>
  <si>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</si>
  <si>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</si>
  <si>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</si>
  <si>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</si>
  <si>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</si>
  <si>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</si>
  <si>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</si>
  <si>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</si>
  <si>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</si>
  <si>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</si>
  <si>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</si>
  <si>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</si>
  <si>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</si>
  <si>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</si>
  <si>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</si>
  <si>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</si>
  <si>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</si>
  <si>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</si>
  <si>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</si>
  <si>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</si>
  <si>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</si>
  <si>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</si>
  <si>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</si>
  <si>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</si>
  <si>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</si>
  <si>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</si>
  <si>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</si>
  <si>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</si>
  <si>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</si>
  <si>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</si>
  <si>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</si>
  <si>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</si>
  <si>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</si>
  <si>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</si>
  <si>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</si>
  <si>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</si>
  <si>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</si>
  <si>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</si>
  <si>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</si>
  <si>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</si>
  <si>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</si>
  <si>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</si>
  <si>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</si>
  <si>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</si>
  <si>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</si>
  <si>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</si>
  <si>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</si>
  <si>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</si>
  <si>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</si>
  <si>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</si>
  <si>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</si>
  <si>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</si>
  <si>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</si>
  <si>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</si>
  <si>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</si>
  <si>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</si>
  <si>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</si>
  <si>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</si>
  <si>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</si>
  <si>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</si>
  <si>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</si>
  <si>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</si>
  <si>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</si>
  <si>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</si>
  <si>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</si>
  <si>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</si>
  <si>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</si>
  <si>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</si>
  <si>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</si>
  <si>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</si>
  <si>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</si>
  <si>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</si>
  <si>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</si>
  <si>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</si>
  <si>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</si>
  <si>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</si>
  <si>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</si>
  <si>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</si>
  <si>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</si>
  <si>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</si>
  <si>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</si>
  <si>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</si>
  <si>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</si>
  <si>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</si>
  <si>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</si>
  <si>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</si>
  <si>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</si>
  <si>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</si>
  <si>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</si>
  <si>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</si>
  <si>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</si>
  <si>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</si>
  <si>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</si>
  <si>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</si>
  <si>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</si>
  <si>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</si>
  <si>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</si>
  <si>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</si>
  <si>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</si>
  <si>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</si>
  <si>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</si>
  <si>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</si>
  <si>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</si>
  <si>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</si>
  <si>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</si>
  <si>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</si>
  <si>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</si>
  <si>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</si>
  <si>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2021-73-20000135.0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</si>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</sst>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7" zoomScale="85" zoomScaleNormal="85" zoomScaleSheetLayoutView="40" zoomScalePageLayoutView="40" workbookViewId="0">
      <selection activeCell="H177" sqref="H1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2" t="str">
        <f>HYPERLINK("#MI_Oferente_Singular!A114","CAPACIDAD RESIDUAL")</f>
        <v>CAPACIDAD RESIDUAL</v>
      </c>
      <c r="F8" s="183"/>
      <c r="G8" s="18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2" t="str">
        <f>HYPERLINK("#MI_Oferente_Singular!A162","TALENTO HUMANO")</f>
        <v>TALENTO HUMANO</v>
      </c>
      <c r="F9" s="183"/>
      <c r="G9" s="18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2" t="str">
        <f>HYPERLINK("#MI_Oferente_Singular!F162","INFRAESTRUCTURA")</f>
        <v>INFRAESTRUCTURA</v>
      </c>
      <c r="F10" s="183"/>
      <c r="G10" s="184"/>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5" t="s">
        <v>2699</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986</v>
      </c>
      <c r="J20" s="145" t="s">
        <v>987</v>
      </c>
      <c r="K20" s="146">
        <v>3339052645</v>
      </c>
      <c r="L20" s="147">
        <v>44197</v>
      </c>
      <c r="M20" s="147">
        <v>44561</v>
      </c>
      <c r="N20" s="130">
        <f>+(M20-L20)/30</f>
        <v>12.133333333333333</v>
      </c>
      <c r="O20" s="133"/>
      <c r="U20" s="129"/>
      <c r="V20" s="105">
        <f ca="1">NOW()</f>
        <v>44194.797925115738</v>
      </c>
      <c r="W20" s="105">
        <f ca="1">NOW()</f>
        <v>44194.797925115738</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1">
        <v>40763</v>
      </c>
      <c r="F48" s="171">
        <v>43108</v>
      </c>
      <c r="G48" s="154">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1">
        <v>41662</v>
      </c>
      <c r="F49" s="171">
        <v>43069</v>
      </c>
      <c r="G49" s="154">
        <f t="shared" ref="G49:G50" si="2">IF(AND(E49&lt;&gt;"",F49&lt;&gt;""),((F49-E49)/30),"")</f>
        <v>46.9</v>
      </c>
      <c r="H49" s="172"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1">
        <v>41439</v>
      </c>
      <c r="F50" s="171">
        <v>41499</v>
      </c>
      <c r="G50" s="154">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1">
        <v>41619</v>
      </c>
      <c r="F51" s="171">
        <v>41729</v>
      </c>
      <c r="G51" s="154">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1">
        <v>43894</v>
      </c>
      <c r="F52" s="171">
        <v>44165</v>
      </c>
      <c r="G52" s="154">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1">
        <v>43894</v>
      </c>
      <c r="F53" s="171">
        <v>44165</v>
      </c>
      <c r="G53" s="154">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1">
        <v>43894</v>
      </c>
      <c r="F54" s="171">
        <v>44165</v>
      </c>
      <c r="G54" s="154">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1">
        <v>43894</v>
      </c>
      <c r="F55" s="171">
        <v>44165</v>
      </c>
      <c r="G55" s="154">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4"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4"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4"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4"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4"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4"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4"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4"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4"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4"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4"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4"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4"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4"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4"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4"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4"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4"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4"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4"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4"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4"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4"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8" t="s">
        <v>2676</v>
      </c>
      <c r="E114" s="171">
        <v>43876</v>
      </c>
      <c r="F114" s="171">
        <v>44196</v>
      </c>
      <c r="G114" s="154">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7">
        <f>+IF(M118="No",1,IF(M118="Si","Ingrese %",""))</f>
        <v>1</v>
      </c>
      <c r="O114" s="156" t="s">
        <v>1150</v>
      </c>
      <c r="P114" s="78"/>
    </row>
    <row r="115" spans="1:16" s="6" customFormat="1" ht="24.75" customHeight="1" x14ac:dyDescent="0.25">
      <c r="A115" s="138">
        <v>2</v>
      </c>
      <c r="B115" s="155" t="s">
        <v>2665</v>
      </c>
      <c r="C115" s="157" t="s">
        <v>31</v>
      </c>
      <c r="D115" s="118" t="s">
        <v>2676</v>
      </c>
      <c r="E115" s="171">
        <v>43876</v>
      </c>
      <c r="F115" s="171">
        <v>44196</v>
      </c>
      <c r="G115" s="154">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7">
        <f>+IF(M118="No",1,IF(M118="Si","Ingrese %",""))</f>
        <v>1</v>
      </c>
      <c r="O115" s="156" t="s">
        <v>1150</v>
      </c>
      <c r="P115" s="78"/>
    </row>
    <row r="116" spans="1:16" s="6" customFormat="1" ht="24.75" customHeight="1" x14ac:dyDescent="0.25">
      <c r="A116" s="138">
        <v>3</v>
      </c>
      <c r="B116" s="155" t="s">
        <v>2665</v>
      </c>
      <c r="C116" s="157" t="s">
        <v>31</v>
      </c>
      <c r="D116" s="118" t="s">
        <v>2676</v>
      </c>
      <c r="E116" s="171">
        <v>43876</v>
      </c>
      <c r="F116" s="171">
        <v>44196</v>
      </c>
      <c r="G116" s="154">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7">
        <f>+IF(M118="No",1,IF(M118="Si","Ingrese %",""))</f>
        <v>1</v>
      </c>
      <c r="O116" s="156" t="s">
        <v>1150</v>
      </c>
      <c r="P116" s="78"/>
    </row>
    <row r="117" spans="1:16" s="6" customFormat="1" ht="24.75" customHeight="1" outlineLevel="1" x14ac:dyDescent="0.25">
      <c r="A117" s="138">
        <v>4</v>
      </c>
      <c r="B117" s="155" t="s">
        <v>2665</v>
      </c>
      <c r="C117" s="157" t="s">
        <v>31</v>
      </c>
      <c r="D117" s="118" t="s">
        <v>2691</v>
      </c>
      <c r="E117" s="118" t="s">
        <v>2692</v>
      </c>
      <c r="F117" s="171">
        <v>44196</v>
      </c>
      <c r="G117" s="154">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7">
        <f>+IF(M118="No",1,IF(M118="Si","Ingrese %",""))</f>
        <v>1</v>
      </c>
      <c r="O117" s="156" t="s">
        <v>1150</v>
      </c>
      <c r="P117" s="78"/>
    </row>
    <row r="118" spans="1:16" s="7" customFormat="1" ht="24.75" customHeight="1" outlineLevel="1" x14ac:dyDescent="0.25">
      <c r="A118" s="139">
        <v>5</v>
      </c>
      <c r="B118" s="155" t="s">
        <v>2665</v>
      </c>
      <c r="C118" s="157" t="s">
        <v>31</v>
      </c>
      <c r="D118" s="118" t="s">
        <v>2691</v>
      </c>
      <c r="E118" s="118" t="s">
        <v>2692</v>
      </c>
      <c r="F118" s="171">
        <v>44196</v>
      </c>
      <c r="G118" s="154">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7">
        <f t="shared" ref="N118:N160" si="6">+IF(M118="No",1,IF(M118="Si","Ingrese %",""))</f>
        <v>1</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1"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8"/>
      <c r="Z178" s="159" t="str">
        <f>IF(Y178&gt;0,SUM(E180+Y178),"")</f>
        <v/>
      </c>
      <c r="AA178" s="19"/>
      <c r="AB178" s="19"/>
    </row>
    <row r="179" spans="1:28" ht="23.25" x14ac:dyDescent="0.25">
      <c r="A179" s="9"/>
      <c r="B179" s="220" t="s">
        <v>2669</v>
      </c>
      <c r="C179" s="220"/>
      <c r="D179" s="220"/>
      <c r="E179" s="165">
        <v>0.02</v>
      </c>
      <c r="F179" s="164">
        <v>2.5000000000000001E-2</v>
      </c>
      <c r="G179" s="159">
        <f>IF(F179&gt;0,SUM(E179+F179),"")</f>
        <v>4.4999999999999998E-2</v>
      </c>
      <c r="H179" s="5"/>
      <c r="I179" s="220" t="s">
        <v>2671</v>
      </c>
      <c r="J179" s="220"/>
      <c r="K179" s="220"/>
      <c r="L179" s="220"/>
      <c r="M179" s="166">
        <v>3.5000000000000003E-2</v>
      </c>
      <c r="O179" s="8"/>
      <c r="Q179" s="19"/>
      <c r="R179" s="153">
        <f>IF(M179&gt;0,SUM(L179+M179),"")</f>
        <v>3.5000000000000003E-2</v>
      </c>
      <c r="T179" s="19"/>
      <c r="U179" s="176" t="s">
        <v>1166</v>
      </c>
      <c r="V179" s="176"/>
      <c r="W179" s="176"/>
      <c r="X179" s="24">
        <v>0.02</v>
      </c>
      <c r="Y179" s="158"/>
      <c r="Z179" s="159" t="str">
        <f>IF(Y179&gt;0,SUM(E181+Y179),"")</f>
        <v/>
      </c>
      <c r="AA179" s="19"/>
      <c r="AB179" s="19"/>
    </row>
    <row r="180" spans="1:28" ht="23.25" hidden="1" x14ac:dyDescent="0.25">
      <c r="A180" s="9"/>
      <c r="B180" s="200"/>
      <c r="C180" s="200"/>
      <c r="D180" s="200"/>
      <c r="E180" s="163"/>
      <c r="H180" s="5"/>
      <c r="I180" s="200"/>
      <c r="J180" s="200"/>
      <c r="K180" s="200"/>
      <c r="L180" s="200"/>
      <c r="M180" s="5"/>
      <c r="O180" s="8"/>
      <c r="Q180" s="19"/>
      <c r="R180" s="153" t="str">
        <f>IF(S180&gt;0,SUM(L180+S180),"")</f>
        <v/>
      </c>
      <c r="S180" s="158"/>
      <c r="T180" s="19"/>
      <c r="U180" s="176" t="s">
        <v>1167</v>
      </c>
      <c r="V180" s="176"/>
      <c r="W180" s="176"/>
      <c r="X180" s="24">
        <v>0.03</v>
      </c>
      <c r="Y180" s="158"/>
      <c r="Z180" s="159" t="str">
        <f>IF(Y180&gt;0,SUM(E182+Y180),"")</f>
        <v/>
      </c>
      <c r="AA180" s="19"/>
      <c r="AB180" s="19"/>
    </row>
    <row r="181" spans="1:28" ht="23.25" hidden="1" x14ac:dyDescent="0.25">
      <c r="A181" s="9"/>
      <c r="B181" s="200"/>
      <c r="C181" s="200"/>
      <c r="D181" s="200"/>
      <c r="E181" s="163"/>
      <c r="H181" s="5"/>
      <c r="I181" s="200"/>
      <c r="J181" s="200"/>
      <c r="K181" s="200"/>
      <c r="L181" s="200"/>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0"/>
      <c r="C182" s="200"/>
      <c r="D182" s="200"/>
      <c r="E182" s="163"/>
      <c r="H182" s="5"/>
      <c r="I182" s="200"/>
      <c r="J182" s="200"/>
      <c r="K182" s="200"/>
      <c r="L182" s="200"/>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4.4999999999999998E-2</v>
      </c>
      <c r="D185" s="91" t="s">
        <v>2628</v>
      </c>
      <c r="E185" s="94">
        <f>+(C185*SUM(K20:K35))</f>
        <v>150257369.02500001</v>
      </c>
      <c r="F185" s="92"/>
      <c r="G185" s="93"/>
      <c r="H185" s="88"/>
      <c r="I185" s="90" t="s">
        <v>2627</v>
      </c>
      <c r="J185" s="160">
        <f>+SUM(M179:M183)</f>
        <v>3.5000000000000003E-2</v>
      </c>
      <c r="K185" s="201" t="s">
        <v>2628</v>
      </c>
      <c r="L185" s="201"/>
      <c r="M185" s="94">
        <f>+J185*(SUM(K20:K35))</f>
        <v>116866842.57500002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3">
        <v>41970</v>
      </c>
      <c r="D193" s="5"/>
      <c r="E193" s="174">
        <v>2226</v>
      </c>
      <c r="F193" s="5"/>
      <c r="G193" s="5"/>
      <c r="H193" s="174"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2020-12-30T00:09:51Z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