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ocuments\MI AETOL\CUNDINAMARCA\2021-25-1000088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904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<sst xmlns="http://schemas.openxmlformats.org/spreadsheetml/2006/main" count="3120" uniqueCount="2701">
  <si>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</si>
  <si>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</si>
  <si>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</si>
  <si>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</si>
  <si>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</si>
  <si>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</si>
  <si>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</si>
  <si>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</si>
  <si>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</si>
  <si>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</si>
  <si>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</si>
  <si>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</si>
  <si>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</si>
  <si>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</si>
  <si>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</si>
  <si>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</si>
  <si>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</si>
  <si>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</si>
  <si>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</si>
  <si>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</si>
  <si>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</si>
  <si>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</si>
  <si>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</si>
  <si>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</si>
  <si>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</si>
  <si>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</si>
  <si>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</si>
  <si>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</si>
  <si>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</si>
  <si>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</si>
  <si>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</si>
  <si>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</si>
  <si>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</si>
  <si>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</si>
  <si>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</si>
  <si>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</si>
  <si>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</si>
  <si>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</si>
  <si>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</si>
  <si>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</si>
  <si>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</si>
  <si>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</si>
  <si>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</si>
  <si>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</si>
  <si>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</si>
  <si>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</si>
  <si>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</si>
  <si>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</si>
  <si>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</si>
  <si>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</si>
  <si>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</si>
  <si>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</si>
  <si>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</si>
  <si>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</si>
  <si>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</si>
  <si>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</si>
  <si>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</si>
  <si>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</si>
  <si>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</si>
  <si>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</si>
  <si>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</si>
  <si>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</si>
  <si>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</si>
  <si>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</si>
  <si>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</si>
  <si>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</si>
  <si>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</si>
  <si>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</si>
  <si>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</si>
  <si>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</si>
  <si>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</si>
  <si>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</si>
  <si>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</si>
  <si>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</si>
  <si>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</si>
  <si>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</si>
  <si>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</si>
  <si>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</si>
  <si>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</si>
  <si>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</si>
  <si>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</si>
  <si>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</si>
  <si>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</si>
  <si>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</si>
  <si>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</si>
  <si>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</si>
  <si>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</si>
  <si>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</si>
  <si>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</si>
  <si>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</si>
  <si>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</si>
  <si>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</si>
  <si>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</si>
  <si>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</si>
  <si>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</si>
  <si>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</si>
  <si>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</si>
  <si>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</si>
  <si>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</si>
  <si>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</si>
  <si>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</si>
  <si>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</si>
  <si>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</si>
  <si>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</si>
  <si>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</si>
  <si>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</si>
  <si>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</si>
  <si>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</si>
  <si>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</si>
  <si>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</si>
  <si>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</si>
  <si>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</si>
  <si>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</si>
  <si>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</si>
  <si>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</si>
  <si>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</si>
  <si>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</si>
  <si>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</si>
  <si>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</si>
  <si>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</si>
  <si>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</si>
  <si>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</si>
  <si>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</si>
  <si>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</si>
  <si>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</si>
  <si>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</si>
  <si>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</si>
  <si>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</si>
  <si>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</si>
  <si>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</si>
  <si>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</si>
  <si>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</si>
  <si>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</si>
  <si>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</si>
  <si>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</si>
  <si>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</si>
  <si>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</si>
  <si>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</si>
  <si>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</si>
  <si>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</si>
  <si>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</si>
  <si>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</si>
  <si>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</si>
  <si>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</si>
  <si>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</si>
  <si>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</si>
  <si>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</si>
  <si>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</si>
  <si>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</si>
  <si>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</si>
  <si>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</si>
  <si>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</si>
  <si>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</si>
  <si>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</si>
  <si>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</si>
  <si>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</si>
  <si>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</si>
  <si>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</si>
  <si>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</si>
  <si>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</si>
  <si>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</si>
  <si>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</si>
  <si>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</si>
  <si>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</si>
  <si>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</si>
  <si>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</si>
  <si>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</si>
  <si>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</si>
  <si>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</si>
  <si>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</si>
  <si>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</si>
  <si>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</si>
  <si>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</si>
  <si>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</si>
  <si>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</si>
  <si>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</si>
  <si>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</si>
  <si>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</si>
  <si>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</si>
  <si>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</si>
  <si>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</si>
  <si>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</si>
  <si>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</si>
  <si>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</si>
  <si>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</si>
  <si>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</si>
  <si>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</si>
  <si>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</si>
  <si>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</si>
  <si>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</si>
  <si>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</si>
  <si>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</si>
  <si>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</si>
  <si>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</si>
  <si>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</si>
  <si>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</si>
  <si>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</si>
  <si>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</si>
  <si>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</si>
  <si>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</si>
  <si>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</si>
  <si>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</si>
  <si>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</si>
  <si>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</si>
  <si>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</si>
  <si>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</si>
  <si>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</si>
  <si>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</si>
  <si>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</si>
  <si>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</si>
  <si>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</si>
  <si>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</si>
  <si>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</si>
  <si>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</si>
  <si>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</si>
  <si>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</si>
  <si>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</si>
  <si>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</si>
  <si>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</si>
  <si>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</si>
  <si>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</si>
  <si>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</si>
  <si>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</si>
  <si>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</si>
  <si>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</si>
  <si>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</si>
  <si>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</si>
  <si>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</si>
  <si>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</si>
  <si>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</si>
  <si>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</si>
  <si>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</si>
  <si>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</si>
  <si>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</si>
  <si>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</si>
  <si>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</si>
  <si>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</si>
  <si>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</si>
  <si>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</si>
  <si>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</si>
  <si>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</si>
  <si>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</si>
  <si>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</si>
  <si>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</si>
  <si>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</si>
  <si>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</si>
  <si>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</si>
  <si>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</si>
  <si>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</si>
  <si>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</si>
  <si>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</si>
  <si>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</si>
  <si>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</si>
  <si>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</si>
  <si>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</si>
  <si>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</si>
  <si>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</si>
  <si>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</si>
  <si>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</si>
  <si>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</si>
  <si>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</si>
  <si>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</si>
  <si>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</si>
  <si>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</si>
  <si>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</si>
  <si>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</si>
  <si>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</si>
  <si>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</si>
  <si>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</si>
  <si>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</si>
  <si>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</si>
  <si>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</si>
  <si>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</si>
  <si>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</si>
  <si>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</si>
  <si>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</si>
  <si>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</si>
  <si>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</si>
  <si>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</si>
  <si>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</si>
  <si>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</si>
  <si>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</si>
  <si>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</si>
  <si>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</si>
  <si>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</si>
  <si>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</si>
  <si>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</si>
  <si>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</si>
  <si>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</si>
  <si>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</si>
  <si>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</si>
  <si>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</si>
  <si>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</si>
  <si>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</si>
  <si>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</si>
  <si>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</si>
  <si>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</si>
  <si>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</si>
  <si>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</si>
  <si>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</si>
  <si>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</si>
  <si>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</si>
  <si>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</si>
  <si>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</si>
  <si>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</si>
  <si>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</si>
  <si>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</si>
  <si>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</si>
  <si>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</si>
  <si>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</si>
  <si>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</si>
  <si>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</si>
  <si>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</si>
  <si>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</si>
  <si>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</si>
  <si>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</si>
  <si>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</si>
  <si>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</si>
  <si>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</si>
  <si>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</si>
  <si>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</si>
  <si>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</si>
  <si>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</si>
  <si>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</si>
  <si>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</si>
  <si>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</si>
  <si>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</si>
  <si>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</si>
  <si>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</si>
  <si>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</si>
  <si>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</si>
  <si>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</si>
  <si>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</si>
  <si>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</si>
  <si>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</si>
  <si>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</si>
  <si>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</si>
  <si>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</si>
  <si>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</si>
  <si>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</si>
  <si>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</si>
  <si>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</si>
  <si>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</si>
  <si>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</si>
  <si>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</si>
  <si>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</si>
  <si>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</si>
  <si>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</si>
  <si>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</si>
  <si>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</si>
  <si>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</si>
  <si>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</si>
  <si>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</si>
  <si>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</si>
  <si>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</si>
  <si>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</si>
  <si>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</si>
  <si>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</si>
  <si>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</si>
  <si>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</si>
  <si>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</si>
  <si>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</si>
  <si>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</si>
  <si>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</si>
  <si>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</si>
  <si>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</si>
  <si>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</si>
  <si>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</si>
  <si>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</si>
  <si>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</si>
  <si>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</si>
  <si>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</si>
  <si>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</si>
  <si>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</si>
  <si>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</si>
  <si>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</si>
  <si>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</si>
  <si>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</si>
  <si>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</si>
  <si>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</si>
  <si>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</si>
  <si>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</si>
  <si>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</si>
  <si>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</si>
  <si>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</si>
  <si>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</si>
  <si>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</si>
  <si>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</si>
  <si>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</si>
  <si>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</si>
  <si>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</si>
  <si>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</si>
  <si>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</si>
  <si>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</si>
  <si>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</si>
  <si>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</si>
  <si>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</si>
  <si>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</si>
  <si>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</si>
  <si>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</si>
  <si>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</si>
  <si>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</si>
  <si>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</si>
  <si>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</si>
  <si>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</si>
  <si>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</si>
  <si>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</si>
  <si>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</si>
  <si>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</si>
  <si>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</si>
  <si>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</si>
  <si>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</si>
  <si>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</si>
  <si>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</si>
  <si>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</si>
  <si>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</si>
  <si>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</si>
  <si>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</si>
  <si>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</si>
  <si>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</si>
  <si>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</si>
  <si>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</si>
  <si>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</si>
  <si>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</si>
  <si>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</si>
  <si>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</si>
  <si>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</si>
  <si>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</si>
  <si>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</si>
  <si>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</si>
  <si>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</si>
  <si>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</si>
  <si>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</si>
  <si>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</si>
  <si>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</si>
  <si>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</si>
  <si>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</si>
  <si>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</si>
  <si>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</si>
  <si>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</si>
  <si>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</si>
  <si>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</si>
  <si>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</si>
  <si>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</si>
  <si>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</si>
  <si>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</si>
  <si>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</si>
  <si>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</si>
  <si>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</si>
  <si>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</si>
  <si>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</si>
  <si>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</si>
  <si>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</si>
  <si>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</si>
  <si>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</si>
  <si>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</si>
  <si>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</si>
  <si>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</si>
  <si>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</si>
  <si>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</si>
  <si>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</si>
  <si>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</si>
  <si>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</si>
  <si>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</si>
  <si>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</si>
  <si>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</si>
  <si>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</si>
  <si>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</si>
  <si>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</si>
  <si>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</si>
  <si>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</si>
  <si>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</si>
  <si>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</si>
  <si>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</si>
  <si>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</si>
  <si>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</si>
  <si>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</si>
  <si>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</si>
  <si>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</si>
  <si>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</si>
  <si>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</si>
  <si>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</si>
  <si>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</si>
  <si>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</si>
  <si>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</si>
  <si>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</si>
  <si>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</si>
  <si>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</si>
  <si>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</si>
  <si>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</si>
  <si>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</si>
  <si>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</si>
  <si>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</si>
  <si>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</si>
  <si>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</si>
  <si>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</si>
  <si>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</si>
  <si>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</si>
  <si>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</si>
  <si>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</si>
  <si>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</si>
  <si>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</si>
  <si>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</si>
  <si>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</si>
  <si>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</si>
  <si>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</si>
  <si>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</si>
  <si>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</si>
  <si>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</si>
  <si>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</si>
  <si>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</si>
  <si>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</si>
  <si>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</si>
  <si>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</si>
  <si>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</si>
  <si>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</si>
  <si>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</si>
  <si>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</si>
  <si>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</si>
  <si>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</si>
  <si>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</si>
  <si>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</si>
  <si>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</si>
  <si>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</si>
  <si>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</si>
  <si>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</si>
  <si>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</si>
  <si>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</si>
  <si>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</si>
  <si>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</si>
  <si>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</si>
  <si>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</si>
  <si>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</si>
  <si>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</si>
  <si>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</si>
  <si>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</si>
  <si>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</si>
  <si>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</si>
  <si>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</si>
  <si>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</si>
  <si>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</si>
  <si>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</si>
  <si>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</si>
  <si>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</si>
  <si>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</si>
  <si>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</si>
  <si>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</si>
  <si>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</si>
  <si>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</si>
  <si>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</si>
  <si>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</si>
  <si>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</si>
  <si>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</si>
  <si>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</si>
  <si>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</si>
  <si>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</si>
  <si>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</si>
  <si>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</si>
  <si>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</si>
  <si>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</si>
  <si>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</si>
  <si>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</si>
  <si>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</si>
  <si>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</si>
  <si>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</si>
  <si>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</si>
  <si>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</si>
  <si>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</si>
  <si>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</si>
  <si>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</si>
  <si>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</si>
  <si>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</si>
  <si>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</si>
  <si>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</si>
  <si>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</si>
  <si>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</si>
  <si>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</si>
  <si>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</si>
  <si>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</si>
  <si>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</si>
  <si>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</si>
  <si>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</si>
  <si>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</si>
  <si>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</si>
  <si>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</si>
  <si>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</si>
  <si>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</si>
  <si>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</si>
  <si>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</si>
  <si>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</si>
  <si>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</si>
  <si>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</si>
  <si>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</si>
  <si>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</si>
  <si>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</si>
  <si>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</si>
  <si>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</si>
  <si>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</si>
  <si>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</si>
  <si>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</si>
  <si>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</si>
  <si>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</si>
  <si>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</si>
  <si>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</si>
  <si>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</si>
  <si>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</si>
  <si>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</si>
  <si>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</si>
  <si>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</si>
  <si>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</si>
  <si>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</si>
  <si>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</si>
  <si>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</si>
  <si>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</si>
  <si>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</si>
  <si>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</si>
  <si>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</si>
  <si>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</si>
  <si>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</si>
  <si>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</si>
  <si>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</si>
  <si>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</si>
  <si>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</si>
  <si>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</si>
  <si>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</si>
  <si>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</si>
  <si>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</si>
  <si>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</si>
  <si>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</si>
  <si>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</si>
  <si>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</si>
  <si>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</si>
  <si>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</si>
  <si>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</si>
  <si>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</si>
  <si>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</si>
  <si>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</si>
  <si>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</si>
  <si>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</si>
  <si>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</si>
  <si>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</si>
  <si>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</si>
  <si>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</si>
  <si>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</si>
  <si>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</si>
  <si>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</si>
  <si>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</si>
  <si>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</si>
  <si>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</si>
  <si>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</si>
  <si>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</si>
  <si>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</si>
  <si>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</si>
  <si>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</si>
  <si>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</si>
  <si>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</si>
  <si>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</si>
  <si>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</si>
  <si>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</si>
  <si>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</si>
  <si>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</si>
  <si>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</si>
  <si>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</si>
  <si>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</si>
  <si>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</si>
  <si>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</si>
  <si>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</si>
  <si>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</si>
  <si>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</si>
  <si>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</si>
  <si>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</si>
  <si>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</si>
  <si>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</si>
  <si>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</si>
  <si>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</si>
  <si>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</si>
  <si>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</si>
  <si>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</si>
  <si>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</si>
  <si>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</si>
  <si>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</si>
  <si>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</si>
  <si>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</si>
  <si>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</si>
  <si>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</si>
  <si>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</si>
  <si>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</si>
  <si>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</si>
  <si>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</si>
  <si>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</si>
  <si>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</si>
  <si>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</si>
  <si>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</si>
  <si>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</si>
  <si>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</si>
  <si>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</si>
  <si>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</si>
  <si>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</si>
  <si>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</si>
  <si>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</si>
  <si>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</si>
  <si>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</si>
  <si>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</si>
  <si>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</si>
  <si>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</si>
  <si>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</si>
  <si>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</si>
  <si>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</si>
  <si>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</si>
  <si>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</si>
  <si>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</si>
  <si>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</si>
  <si>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</si>
  <si>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</si>
  <si>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</si>
  <si>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</si>
  <si>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</si>
  <si>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</si>
  <si>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</si>
  <si>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</si>
  <si>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</si>
  <si>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</si>
  <si>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</si>
  <si>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</si>
  <si>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</si>
  <si>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</si>
  <si>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</si>
  <si>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</si>
  <si>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</si>
  <si>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</si>
  <si>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</si>
  <si>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</si>
  <si>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</si>
  <si>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</si>
  <si>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</si>
  <si>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</si>
  <si>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</si>
  <si>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</si>
  <si>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</si>
  <si>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</si>
  <si>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</si>
  <si>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</si>
  <si>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</si>
  <si>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</si>
  <si>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</si>
  <si>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</si>
  <si>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</si>
  <si>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</si>
  <si>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</si>
  <si>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</si>
  <si>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</si>
  <si>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</si>
  <si>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</si>
  <si>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</si>
  <si>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</si>
  <si>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</si>
  <si>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</si>
  <si>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</si>
  <si>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</si>
  <si>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</si>
  <si>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</si>
  <si>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</si>
  <si>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</si>
  <si>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</si>
  <si>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</si>
  <si>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</si>
  <si>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</si>
  <si>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</si>
  <si>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</si>
  <si>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</si>
  <si>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</si>
  <si>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</si>
  <si>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</si>
  <si>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</si>
  <si>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</si>
  <si>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</si>
  <si>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</si>
  <si>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</si>
  <si>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</si>
  <si>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</si>
  <si>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</si>
  <si>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</si>
  <si>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</si>
  <si>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</si>
  <si>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</si>
  <si>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</si>
  <si>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</si>
  <si>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</si>
  <si>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</si>
  <si>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</si>
  <si>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</si>
  <si>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</si>
  <si>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</si>
  <si>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</si>
  <si>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</si>
  <si>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</si>
  <si>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</si>
  <si>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</si>
  <si>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</si>
  <si>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</si>
  <si>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</si>
  <si>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</si>
  <si>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</si>
  <si>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</si>
  <si>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</si>
  <si>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</si>
  <si>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</si>
  <si>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</si>
  <si>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</si>
  <si>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</si>
  <si>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</si>
  <si>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</si>
  <si>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</si>
  <si>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</si>
  <si>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</si>
  <si>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</si>
  <si>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</si>
  <si>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</si>
  <si>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</si>
  <si>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</si>
  <si>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</si>
  <si>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</si>
  <si>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</si>
  <si>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</si>
  <si>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</si>
  <si>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</si>
  <si>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</si>
  <si>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</si>
  <si>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</si>
  <si>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</si>
  <si>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</si>
  <si>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</si>
  <si>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</si>
  <si>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</si>
  <si>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</si>
  <si>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</si>
  <si>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</si>
  <si>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</si>
  <si>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</si>
  <si>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</si>
  <si>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</si>
  <si>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</si>
  <si>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</si>
  <si>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</si>
  <si>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</si>
  <si>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</si>
  <si>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</si>
  <si>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</si>
  <si>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</si>
  <si>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</si>
  <si>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</si>
  <si>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</si>
  <si>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</si>
  <si>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</si>
  <si>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</si>
  <si>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</si>
  <si>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</si>
  <si>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</si>
  <si>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</si>
  <si>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</si>
  <si>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</si>
  <si>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</si>
  <si>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</si>
  <si>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</si>
  <si>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</si>
  <si>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</si>
  <si>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</si>
  <si>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</si>
  <si>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</si>
  <si>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</si>
  <si>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</si>
  <si>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</si>
  <si>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</si>
  <si>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</si>
  <si>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</si>
  <si>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</si>
  <si>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</si>
  <si>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</si>
  <si>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</si>
  <si>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</si>
  <si>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</si>
  <si>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</si>
  <si>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</si>
  <si>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</si>
  <si>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</si>
  <si>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</si>
  <si>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</si>
  <si>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</si>
  <si>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</si>
  <si>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</si>
  <si>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</si>
  <si>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</si>
  <si>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</si>
  <si>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</si>
  <si>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</si>
  <si>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</si>
  <si>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</si>
  <si>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</si>
  <si>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</si>
  <si>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</si>
  <si>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</si>
  <si>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</si>
  <si>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</si>
  <si>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</si>
  <si>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</si>
  <si>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</si>
  <si>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</si>
  <si>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</si>
  <si>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</si>
  <si>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</si>
  <si>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</si>
  <si>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</si>
  <si>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</si>
  <si>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</si>
  <si>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</si>
  <si>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</si>
  <si>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</si>
  <si>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</si>
  <si>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</si>
  <si>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</si>
  <si>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</si>
  <si>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</si>
  <si>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</si>
  <si>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</si>
  <si>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</si>
  <si>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</si>
  <si>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</si>
  <si>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</si>
  <si>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</si>
  <si>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</si>
  <si>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</si>
  <si>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</si>
  <si>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</si>
  <si>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</si>
  <si>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</si>
  <si>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</si>
  <si>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</si>
  <si>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</si>
  <si>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</si>
  <si>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</si>
  <si>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</si>
  <si>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</si>
  <si>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</si>
  <si>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</si>
  <si>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</si>
  <si>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</si>
  <si>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</si>
  <si>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</si>
  <si>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</si>
  <si>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</si>
  <si>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</si>
  <si>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</si>
  <si>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</si>
  <si>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</si>
  <si>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</si>
  <si>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</si>
  <si>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</si>
  <si>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</si>
  <si>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</si>
  <si>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</si>
  <si>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</si>
  <si>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</si>
  <si>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</si>
  <si>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</si>
  <si>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</si>
  <si>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</si>
  <si>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</si>
  <si>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</si>
  <si>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</si>
  <si>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</si>
  <si>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</si>
  <si>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</si>
  <si>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</si>
  <si>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</si>
  <si>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</si>
  <si>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</si>
  <si>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</si>
  <si>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</si>
  <si>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</si>
  <si>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</si>
  <si>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</si>
  <si>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</si>
  <si>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</si>
  <si>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</si>
  <si>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</si>
  <si>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</si>
  <si>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</si>
  <si>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</si>
  <si>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</si>
  <si>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</si>
  <si>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</si>
  <si>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</si>
  <si>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</si>
  <si>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</si>
  <si>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</si>
  <si>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</si>
  <si>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</si>
  <si>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</si>
  <si>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</si>
  <si>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</si>
  <si>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</si>
  <si>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</si>
  <si>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</si>
  <si>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</si>
  <si>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</si>
  <si>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</si>
  <si>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</si>
  <si>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</si>
  <si>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</si>
  <si>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</si>
  <si>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</si>
  <si>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</si>
  <si>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</si>
  <si>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</si>
  <si>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</si>
  <si>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</si>
  <si>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</si>
  <si>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</si>
  <si>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</si>
  <si>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</si>
  <si>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</si>
  <si>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</si>
  <si>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</si>
  <si>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</si>
  <si>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</si>
  <si>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</si>
  <si>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</si>
  <si>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</si>
  <si>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</si>
  <si>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</si>
  <si>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</si>
  <si>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</si>
  <si>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</si>
  <si>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</si>
  <si>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</si>
  <si>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</si>
  <si>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</si>
  <si>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</si>
  <si>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</si>
  <si>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</si>
  <si>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</si>
  <si>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</si>
  <si>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</si>
  <si>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</si>
  <si>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</si>
  <si>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</si>
  <si>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</si>
  <si>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</si>
  <si>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</si>
  <si>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</si>
  <si>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</si>
  <si>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</si>
  <si>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</si>
  <si>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</si>
  <si>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</si>
  <si>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</si>
  <si>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</si>
  <si>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</si>
  <si>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</si>
  <si>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</si>
  <si>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</si>
  <si>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</si>
  <si>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</si>
  <si>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</si>
  <si>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</si>
  <si>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</si>
  <si>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</si>
  <si>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</si>
  <si>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</si>
  <si>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</si>
  <si>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</si>
  <si>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</si>
  <si>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</si>
  <si>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</si>
  <si>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</si>
  <si>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</si>
  <si>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</si>
  <si>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</si>
  <si>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</si>
  <si>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</si>
  <si>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</si>
  <si>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</si>
  <si>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</si>
  <si>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</si>
  <si>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</si>
  <si>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</si>
  <si>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</si>
  <si>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</si>
  <si>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</si>
  <si>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</si>
  <si>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</si>
  <si>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</si>
  <si>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</si>
  <si>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</si>
  <si>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</si>
  <si>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</si>
  <si>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</si>
  <si>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</si>
  <si>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</si>
  <si>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</si>
  <si>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</si>
  <si>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</si>
  <si>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</si>
  <si>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</si>
  <si>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</si>
  <si>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</si>
  <si>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</si>
  <si>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</si>
  <si>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</si>
  <si>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</si>
  <si>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</si>
  <si>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</si>
  <si>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</si>
  <si>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</si>
  <si>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</si>
  <si>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</si>
  <si>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</si>
  <si>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</si>
  <si>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</si>
  <si>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</si>
  <si>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</si>
  <si>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</si>
  <si>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</si>
  <si>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</si>
  <si>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</si>
  <si>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</si>
  <si>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</si>
  <si>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</si>
  <si>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</si>
  <si>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</si>
  <si>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</si>
  <si>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</si>
  <si>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</si>
  <si>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</si>
  <si>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</si>
  <si>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</si>
  <si>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</si>
  <si>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</si>
  <si>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</si>
  <si>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</si>
  <si>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</si>
  <si>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</si>
  <si>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</si>
  <si>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</si>
  <si>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</si>
  <si>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</si>
  <si>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</si>
  <si>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</si>
  <si>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</si>
  <si>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</si>
  <si>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</si>
  <si>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</si>
  <si>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</si>
  <si>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</si>
  <si>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</si>
  <si>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</si>
  <si>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</si>
  <si>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</si>
  <si>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</si>
  <si>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</si>
  <si>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</si>
  <si>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</si>
  <si>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</si>
  <si>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</si>
  <si>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</si>
  <si>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</si>
  <si>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</si>
  <si>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</si>
  <si>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</si>
  <si>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</si>
  <si>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</si>
  <si>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</si>
  <si>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</si>
  <si>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</si>
  <si>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</si>
  <si>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</si>
  <si>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</si>
  <si>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</si>
  <si>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</si>
  <si>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</si>
  <si>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</si>
  <si>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</si>
  <si>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</si>
  <si>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</si>
  <si>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</si>
  <si>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</si>
  <si>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</si>
  <si>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</si>
  <si>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</si>
  <si>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</si>
  <si>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</si>
  <si>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</si>
  <si>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</si>
  <si>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</si>
  <si>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</si>
  <si>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</si>
  <si>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</si>
  <si>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</si>
  <si>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</si>
  <si>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</si>
  <si>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</si>
  <si>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</si>
  <si>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</si>
  <si>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</si>
  <si>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</si>
  <si>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</si>
  <si>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</si>
  <si>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</si>
  <si>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</si>
  <si>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</si>
  <si>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</si>
  <si>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</si>
  <si>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</si>
  <si>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</si>
  <si>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</si>
  <si>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</si>
  <si>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</si>
  <si>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</si>
  <si>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</si>
  <si>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</si>
  <si>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</si>
  <si>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</si>
  <si>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</si>
  <si>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</si>
  <si>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</si>
  <si>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</si>
  <si>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</si>
  <si>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</si>
  <si>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</si>
  <si>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</si>
  <si>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</si>
  <si>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</si>
  <si>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</si>
  <si>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</si>
  <si>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</si>
  <si>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</si>
  <si>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</si>
  <si>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</si>
  <si>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</si>
  <si>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</si>
  <si>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</si>
  <si>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</si>
  <si>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</si>
  <si>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</si>
  <si>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</si>
  <si>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</si>
  <si>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</si>
  <si>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</si>
  <si>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</si>
  <si>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</si>
  <si>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</si>
  <si>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</si>
  <si>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</si>
  <si>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</si>
  <si>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</si>
  <si>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</si>
  <si>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</si>
  <si>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</si>
  <si>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</si>
  <si>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</si>
  <si>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</si>
  <si>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</si>
  <si>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</si>
  <si>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</si>
  <si>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</si>
  <si>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</si>
  <si>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</si>
  <si>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</si>
  <si>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</si>
  <si>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</si>
  <si>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</si>
  <si>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</si>
  <si>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</si>
  <si>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</si>
  <si>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</si>
  <si>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</si>
  <si>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</si>
  <si>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</si>
  <si>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</si>
  <si>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</si>
  <si>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</si>
  <si>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</si>
  <si>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</si>
  <si>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</si>
  <si>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</si>
  <si>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</si>
  <si>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</si>
  <si>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</si>
  <si>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</si>
  <si>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</si>
  <si>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</si>
  <si>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</si>
  <si>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</si>
  <si>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</si>
  <si>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</si>
  <si>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</si>
  <si>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</si>
  <si>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</si>
  <si>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</si>
  <si>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</si>
  <si>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</si>
  <si>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</si>
  <si>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</si>
  <si>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</si>
  <si>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</si>
  <si>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</si>
  <si>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</si>
  <si>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</si>
  <si>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</si>
  <si>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</si>
  <si>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</si>
  <si>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</si>
  <si>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</si>
  <si>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</si>
  <si>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</si>
  <si>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</si>
  <si>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</si>
  <si>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</si>
  <si>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</si>
  <si>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</si>
  <si>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</si>
  <si>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</si>
  <si>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</si>
  <si>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</si>
  <si>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</si>
  <si>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</si>
  <si>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</si>
  <si>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</si>
  <si>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</si>
  <si>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</si>
  <si>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</si>
  <si>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</si>
  <si>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</si>
  <si>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</si>
  <si>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</si>
  <si>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</si>
  <si>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</si>
  <si>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</si>
  <si>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</si>
  <si>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</si>
  <si>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</si>
  <si>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</si>
  <si>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</si>
  <si>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</si>
  <si>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</si>
  <si>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</si>
  <si>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</si>
  <si>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</si>
  <si>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</si>
  <si>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</si>
  <si>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</si>
  <si>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</si>
  <si>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</si>
  <si>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</si>
  <si>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</si>
  <si>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</si>
  <si>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</si>
  <si>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</si>
  <si>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</si>
  <si>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</si>
  <si>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</si>
  <si>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</si>
  <si>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</si>
  <si>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</si>
  <si>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</si>
  <si>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</si>
  <si>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</si>
  <si>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</si>
  <si>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</si>
  <si>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</si>
  <si>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</si>
  <si>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</si>
  <si>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</si>
  <si>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</si>
  <si>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</si>
  <si>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</si>
  <si>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</si>
  <si>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</si>
  <si>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</si>
  <si>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</si>
  <si>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</si>
  <si>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</si>
  <si>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</si>
  <si>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</si>
  <si>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</si>
  <si>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</si>
  <si>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</si>
  <si>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</si>
  <si>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</si>
  <si>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</si>
  <si>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</si>
  <si>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</si>
  <si>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</si>
  <si>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</si>
  <si>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</si>
  <si>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</si>
  <si>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</si>
  <si>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</si>
  <si>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</si>
  <si>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</si>
  <si>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</si>
  <si>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</si>
  <si>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</si>
  <si>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</si>
  <si>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</si>
  <si>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</si>
  <si>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</si>
  <si>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</si>
  <si>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</si>
  <si>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</si>
  <si>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</si>
  <si>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</si>
  <si>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</si>
  <si>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</si>
  <si>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</si>
  <si>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</si>
  <si>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</si>
  <si>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</si>
  <si>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</si>
  <si>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</si>
  <si>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</si>
  <si>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</si>
  <si>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</si>
  <si>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</si>
  <si>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</si>
  <si>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</si>
  <si>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</si>
  <si>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</si>
  <si>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</si>
  <si>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</si>
  <si>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</si>
  <si>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</si>
  <si>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</si>
  <si>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</si>
  <si>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</si>
  <si>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</si>
  <si>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</si>
  <si>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</si>
  <si>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</si>
  <si>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</si>
  <si>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</si>
  <si>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</si>
  <si>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</si>
  <si>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</si>
  <si>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</si>
  <si>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</si>
  <si>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</si>
  <si>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</si>
  <si>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</si>
  <si>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</si>
  <si>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</si>
  <si>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</si>
  <si>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</si>
  <si>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</si>
  <si>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</si>
  <si>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</si>
  <si>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</si>
  <si>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</si>
  <si>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</si>
  <si>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</si>
  <si>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</si>
  <si>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</si>
  <si>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</si>
  <si>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</si>
  <si>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</si>
  <si>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</si>
  <si>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</si>
  <si>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</si>
  <si>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</si>
  <si>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</si>
  <si>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</si>
  <si>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</si>
  <si>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</si>
  <si>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</si>
  <si>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</si>
  <si>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</si>
  <si>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</si>
  <si>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</si>
  <si>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</si>
  <si>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</si>
  <si>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</si>
  <si>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</si>
  <si>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</si>
  <si>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</si>
  <si>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</si>
  <si>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</si>
  <si>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</si>
  <si>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</si>
  <si>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</si>
  <si>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</si>
  <si>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</si>
  <si>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</si>
  <si>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</si>
  <si>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</si>
  <si>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</si>
  <si>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</si>
  <si>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</si>
  <si>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</si>
  <si>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</si>
  <si>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</si>
  <si>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</si>
  <si>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</si>
  <si>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</si>
  <si>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</si>
  <si>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</si>
  <si>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</si>
  <si>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</si>
  <si>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</si>
  <si>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</si>
  <si>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</si>
  <si>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</si>
  <si>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</si>
  <si>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</si>
  <si>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</si>
  <si>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</si>
  <si>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</si>
  <si>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</si>
  <si>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</si>
  <si>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</si>
  <si>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</si>
  <si>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</si>
  <si>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</si>
  <si>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</si>
  <si>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</si>
  <si>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</si>
  <si>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</si>
  <si>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</si>
  <si>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</si>
  <si>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</si>
  <si>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</si>
  <si>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</si>
  <si>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</si>
  <si>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</si>
  <si>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</si>
  <si>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</si>
  <si>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</si>
  <si>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</si>
  <si>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</si>
  <si>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</si>
  <si>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</si>
  <si>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</si>
  <si>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</si>
  <si>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</si>
  <si>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</si>
  <si>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</si>
  <si>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</si>
  <si>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</si>
  <si>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</si>
  <si>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</si>
  <si>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</si>
  <si>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</si>
  <si>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</si>
  <si>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</si>
  <si>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</si>
  <si>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</si>
  <si>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</si>
  <si>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</si>
  <si>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</si>
  <si>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</si>
  <si>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</si>
  <si>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</si>
  <si>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</si>
  <si>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</si>
  <si>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</si>
  <si>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</si>
  <si>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</si>
  <si>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</si>
  <si>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</si>
  <si>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</si>
  <si>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</si>
  <si>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</si>
  <si>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</si>
  <si>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</si>
  <si>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</si>
  <si>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</si>
  <si>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</si>
  <si>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</si>
  <si>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</si>
  <si>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</si>
  <si>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</si>
  <si>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</si>
  <si>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</si>
  <si>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</si>
  <si>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</si>
  <si>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</si>
  <si>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</si>
  <si>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</si>
  <si>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</si>
  <si>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</si>
  <si>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</si>
  <si>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</si>
  <si>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</si>
  <si>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</si>
  <si>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</si>
  <si>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</si>
  <si>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</si>
  <si>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</si>
  <si>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</si>
  <si>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</si>
  <si>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</si>
  <si>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</si>
  <si>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</si>
  <si>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</si>
  <si>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</si>
  <si>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</si>
  <si>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</si>
  <si>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</si>
  <si>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</si>
  <si>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</si>
  <si>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</si>
  <si>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</si>
  <si>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</si>
  <si>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</si>
  <si>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</si>
  <si>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</si>
  <si>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</si>
  <si>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</si>
  <si>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</si>
  <si>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</si>
  <si>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</si>
  <si>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</si>
  <si>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</si>
  <si>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</si>
  <si>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</si>
  <si>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</si>
  <si>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</si>
  <si>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</si>
  <si>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</si>
  <si>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</si>
  <si>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</si>
  <si>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</si>
  <si>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</si>
  <si>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</si>
  <si>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</si>
  <si>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</si>
  <si>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</si>
  <si>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</si>
  <si>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</si>
  <si>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</si>
  <si>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</si>
  <si>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</si>
  <si>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</si>
  <si>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</si>
  <si>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</si>
  <si>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</si>
  <si>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</si>
  <si>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</si>
  <si>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</si>
  <si>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</si>
  <si>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</si>
  <si>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</si>
  <si>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</si>
  <si>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</si>
  <si>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</si>
  <si>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</si>
  <si>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</si>
  <si>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</si>
  <si>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</si>
  <si>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</si>
  <si>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</si>
  <si>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</si>
  <si>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</si>
  <si>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</si>
  <si>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</si>
  <si>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</si>
  <si>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</si>
  <si>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</si>
  <si>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</si>
  <si>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</si>
  <si>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</si>
  <si>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</si>
  <si>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</si>
  <si>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</si>
  <si>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</si>
  <si>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</si>
  <si>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</si>
  <si>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</si>
  <si>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</si>
  <si>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</si>
  <si>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</si>
  <si>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</si>
  <si>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</si>
  <si>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</si>
  <si>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</si>
  <si>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</si>
  <si>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</si>
  <si>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</si>
  <si>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</si>
  <si>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</si>
  <si>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</si>
  <si>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</si>
  <si>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</si>
  <si>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</si>
  <si>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</si>
  <si>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</si>
  <si>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</si>
  <si>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</si>
  <si>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</si>
  <si>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</si>
  <si>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</si>
  <si>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</si>
  <si>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</si>
  <si>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</si>
  <si>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</si>
  <si>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</si>
  <si>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</si>
  <si>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</si>
  <si>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</si>
  <si>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</si>
  <si>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</si>
  <si>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</si>
  <si>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</si>
  <si>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</si>
  <si>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</si>
  <si>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</si>
  <si>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</si>
  <si>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</si>
  <si>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</si>
  <si>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</si>
  <si>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</si>
  <si>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</si>
  <si>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</si>
  <si>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</si>
  <si>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</si>
  <si>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</si>
  <si>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</si>
  <si>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</si>
  <si>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</si>
  <si>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</si>
  <si>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</si>
  <si>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</si>
  <si>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</si>
  <si>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</si>
  <si>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</si>
  <si>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</si>
  <si>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</si>
  <si>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</si>
  <si>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</si>
  <si>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</si>
  <si>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</si>
  <si>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</si>
  <si>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</si>
  <si>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</si>
  <si>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</si>
  <si>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</si>
  <si>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</si>
  <si>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</si>
  <si>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</si>
  <si>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</si>
  <si>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</si>
  <si>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</si>
  <si>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</si>
  <si>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</si>
  <si>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</si>
  <si>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</si>
  <si>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</si>
  <si>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</si>
  <si>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</si>
  <si>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</si>
  <si>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</si>
  <si>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</si>
  <si>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</si>
  <si>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</si>
  <si>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</si>
  <si>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</si>
  <si>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</si>
  <si>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</si>
  <si>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</si>
  <si>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</si>
  <si>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</si>
  <si>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</si>
  <si>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</si>
  <si>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</si>
  <si>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</si>
  <si>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</si>
  <si>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</si>
  <si>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</si>
  <si>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</si>
  <si>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</si>
  <si>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</si>
  <si>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</si>
  <si>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</si>
  <si>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</si>
  <si>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</si>
  <si>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</si>
  <si>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</si>
  <si>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</si>
  <si>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</si>
  <si>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</si>
  <si>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</si>
  <si>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</si>
  <si>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</si>
  <si>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</si>
  <si>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</si>
  <si>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</si>
  <si>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</si>
  <si>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</si>
  <si>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</si>
  <si>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</si>
  <si>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</si>
  <si>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</si>
  <si>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</si>
  <si>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</si>
  <si>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</si>
  <si>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</si>
  <si>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</si>
  <si>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</si>
  <si>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</si>
  <si>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</si>
  <si>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</si>
  <si>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</si>
  <si>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</si>
  <si>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</si>
  <si>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</si>
  <si>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</si>
  <si>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</si>
  <si>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</si>
  <si>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</si>
  <si>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</si>
  <si>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</si>
  <si>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</si>
  <si>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</si>
  <si>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</si>
  <si>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</si>
  <si>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</si>
  <si>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</si>
  <si>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</si>
  <si>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</si>
  <si>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</si>
  <si>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</si>
  <si>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</si>
  <si>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</si>
  <si>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</si>
  <si>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</si>
  <si>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</si>
  <si>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</si>
  <si>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</si>
  <si>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</si>
  <si>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</si>
  <si>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</si>
  <si>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</si>
  <si>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</si>
  <si>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</si>
  <si>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</si>
  <si>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</si>
  <si>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</si>
  <si>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</si>
  <si>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</si>
  <si>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</si>
  <si>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</si>
  <si>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</si>
  <si>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</si>
  <si>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</si>
  <si>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</si>
  <si>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</si>
  <si>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</si>
  <si>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</si>
  <si>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</si>
  <si>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</si>
  <si>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</si>
  <si>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</si>
  <si>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</si>
  <si>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</si>
  <si>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</si>
  <si>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</si>
  <si>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</si>
  <si>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</si>
  <si>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</si>
  <si>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</si>
  <si>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</si>
  <si>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</si>
  <si>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</si>
  <si>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</si>
  <si>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</si>
  <si>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</si>
  <si>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</si>
  <si>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</si>
  <si>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</si>
  <si>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</si>
  <si>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</si>
  <si>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</si>
  <si>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</si>
  <si>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</si>
  <si>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</si>
  <si>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</si>
  <si>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</si>
  <si>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</si>
  <si>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</si>
  <si>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</si>
  <si>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</si>
  <si>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</si>
  <si>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</si>
  <si>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</si>
  <si>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</si>
  <si>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</si>
  <si>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</si>
  <si>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</si>
  <si>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</si>
  <si>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</si>
  <si>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</si>
  <si>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</si>
  <si>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</si>
  <si>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</si>
  <si>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</si>
  <si>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</si>
  <si>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</si>
  <si>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</si>
  <si>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</si>
  <si>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</si>
  <si>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</si>
  <si>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</si>
  <si>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</si>
  <si>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</si>
  <si>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</si>
  <si>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</si>
  <si>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</si>
  <si>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</si>
  <si>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</si>
  <si>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</si>
  <si>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</si>
  <si>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</si>
  <si>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</si>
  <si>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</si>
  <si>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</si>
  <si>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</si>
  <si>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</si>
  <si>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</si>
  <si>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</si>
  <si>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</si>
  <si>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</si>
  <si>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</si>
  <si>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</si>
  <si>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</si>
  <si>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</si>
  <si>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</si>
  <si>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</si>
  <si>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</si>
  <si>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</si>
  <si>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</si>
  <si>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</si>
  <si>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</si>
  <si>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</si>
  <si>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</si>
  <si>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</si>
  <si>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</si>
  <si>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</si>
  <si>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</si>
  <si>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</si>
  <si>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</si>
  <si>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</si>
  <si>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</si>
  <si>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</si>
  <si>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</si>
  <si>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</si>
  <si>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</si>
  <si>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</si>
  <si>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</si>
  <si>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</si>
  <si>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</si>
  <si>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</si>
  <si>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</si>
  <si>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</si>
  <si>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</si>
  <si>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</si>
  <si>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</si>
  <si>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</si>
  <si>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</si>
  <si>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</si>
  <si>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</si>
  <si>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</si>
  <si>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</si>
  <si>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</si>
  <si>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</si>
  <si>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</si>
  <si>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</si>
  <si>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</si>
  <si>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</si>
  <si>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</si>
  <si>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</si>
  <si>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</si>
  <si>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</si>
  <si>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</si>
  <si>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</si>
  <si>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</si>
  <si>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</si>
  <si>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</si>
  <si>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</si>
  <si>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</si>
  <si>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</si>
  <si>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</si>
  <si>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</si>
  <si>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</si>
  <si>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</si>
  <si>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</si>
  <si>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</si>
  <si>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</si>
  <si>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</si>
  <si>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</si>
  <si>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</si>
  <si>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</si>
  <si>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</si>
  <si>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</si>
  <si>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</si>
  <si>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</si>
  <si>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</si>
  <si>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</si>
  <si>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</si>
  <si>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</si>
  <si>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</si>
  <si>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</si>
  <si>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</si>
  <si>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</si>
  <si>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</si>
  <si>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</si>
  <si>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</si>
  <si>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</si>
  <si>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</si>
  <si>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</si>
  <si>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</si>
  <si>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</si>
  <si>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</si>
  <si>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</si>
  <si>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</si>
  <si>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</si>
  <si>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</si>
  <si>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</si>
  <si>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</si>
  <si>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</si>
  <si>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</si>
  <si>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</si>
  <si>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</si>
  <si>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</si>
  <si>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</si>
  <si>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</si>
  <si>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</si>
  <si>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</si>
  <si>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</si>
  <si>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</si>
  <si>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</si>
  <si>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</si>
  <si>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</si>
  <si>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</si>
  <si>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</si>
  <si>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</si>
  <si>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</si>
  <si>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</si>
  <si>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</si>
  <si>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</si>
  <si>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</si>
  <si>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</si>
  <si>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</si>
  <si>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</si>
  <si>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</si>
  <si>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</si>
  <si>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</si>
  <si>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</si>
  <si>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</si>
  <si>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</si>
  <si>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</si>
  <si>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</si>
  <si>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</si>
  <si>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</si>
  <si>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</si>
  <si>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</si>
  <si>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</si>
  <si>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</si>
  <si>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</si>
  <si>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</si>
  <si>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</si>
  <si>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</si>
  <si>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</si>
  <si>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</si>
  <si>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</si>
  <si>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</si>
  <si>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</si>
  <si>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</si>
  <si>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</si>
  <si>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</si>
  <si>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</si>
  <si>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</si>
  <si>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</si>
  <si>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</si>
  <si>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</si>
  <si>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</si>
  <si>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</si>
  <si>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</si>
  <si>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</si>
  <si>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</si>
  <si>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</si>
  <si>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</si>
  <si>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</si>
  <si>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</si>
  <si>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</si>
  <si>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</si>
  <si>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</si>
  <si>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</si>
  <si>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</si>
  <si>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</si>
  <si>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</si>
  <si>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</si>
  <si>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</si>
  <si>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</si>
  <si>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</si>
  <si>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</si>
  <si>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</si>
  <si>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</si>
  <si>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</si>
  <si>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</si>
  <si>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</si>
  <si>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</si>
  <si>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</si>
  <si>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</si>
  <si>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</si>
  <si>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</si>
  <si>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</si>
  <si>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</si>
  <si>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</si>
  <si>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</si>
  <si>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</si>
  <si>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</si>
  <si>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</si>
  <si>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</si>
  <si>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</si>
  <si>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</si>
  <si>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</si>
  <si>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</si>
  <si>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</si>
  <si>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</si>
  <si>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</si>
  <si>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</si>
  <si>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</si>
  <si>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</si>
  <si>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</si>
  <si>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</si>
  <si>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</si>
  <si>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</si>
  <si>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</si>
  <si>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</si>
  <si>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</si>
  <si>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</si>
  <si>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</si>
  <si>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</si>
  <si>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</si>
  <si>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</si>
  <si>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</si>
  <si>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</si>
  <si>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</si>
  <si>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</si>
  <si>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</si>
  <si>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</si>
  <si>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</si>
  <si>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</si>
  <si>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</si>
  <si>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</si>
  <si>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</si>
  <si>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</si>
  <si>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</si>
  <si>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</si>
  <si>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</si>
  <si>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</si>
  <si>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</si>
  <si>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</si>
  <si>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</si>
  <si>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</si>
  <si>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</si>
  <si>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</si>
  <si>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</si>
  <si>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</si>
  <si>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</si>
  <si>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</si>
  <si>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</si>
  <si>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</si>
  <si>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</si>
  <si>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</si>
  <si>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</si>
  <si>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</si>
  <si>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</si>
  <si>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</si>
  <si>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</si>
  <si>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</si>
  <si>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</si>
  <si>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</si>
  <si>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</si>
  <si>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</si>
  <si>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</si>
  <si>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</si>
  <si>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</si>
  <si>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</si>
  <si>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</si>
  <si>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</si>
  <si>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</si>
  <si>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</si>
  <si>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</si>
  <si>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</si>
  <si>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</si>
  <si>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</si>
  <si>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</si>
  <si>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</si>
  <si>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</si>
  <si>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</si>
  <si>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</si>
  <si>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</si>
  <si>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</si>
  <si>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</si>
  <si>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</si>
  <si>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</si>
  <si>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</si>
  <si>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</si>
  <si>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</si>
  <si>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</si>
  <si>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</si>
  <si>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</si>
  <si>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</si>
  <si>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</si>
  <si>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</si>
  <si>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</si>
  <si>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</si>
  <si>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</si>
  <si>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</si>
  <si>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</si>
  <si>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</si>
  <si>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</si>
  <si>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</si>
  <si>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</si>
  <si>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</si>
  <si>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</si>
  <si>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</si>
  <si>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</si>
  <si>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</si>
  <si>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</si>
  <si>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</si>
  <si>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</si>
  <si>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</si>
  <si>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</si>
  <si>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</si>
  <si>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</si>
  <si>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</si>
  <si>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</si>
  <si>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</si>
  <si>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</si>
  <si>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</si>
  <si>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</si>
  <si>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</si>
  <si>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</si>
  <si>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</si>
  <si>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</si>
  <si>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</si>
  <si>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</si>
  <si>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</si>
  <si>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</si>
  <si>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</si>
  <si>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</si>
  <si>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</si>
  <si>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</si>
  <si>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</si>
  <si>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</si>
  <si>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</si>
  <si>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</si>
  <si>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</si>
  <si>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</si>
  <si>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</si>
  <si>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</si>
  <si>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</si>
  <si>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</si>
  <si>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</si>
  <si>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</si>
  <si>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</si>
  <si>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</si>
  <si>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</si>
  <si>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</si>
  <si>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</si>
  <si>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</si>
  <si>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</si>
  <si>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</si>
  <si>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</si>
  <si>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</si>
  <si>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</si>
  <si>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</si>
  <si>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</si>
  <si>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</si>
  <si>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</si>
  <si>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</si>
  <si>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</si>
  <si>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</si>
  <si>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</si>
  <si>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</si>
  <si>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</si>
  <si>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</si>
  <si>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</si>
  <si>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</si>
  <si>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</si>
  <si>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</si>
  <si>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</si>
  <si>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</si>
  <si>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</si>
  <si>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</si>
  <si>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</si>
  <si>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</si>
  <si>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</si>
  <si>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</si>
  <si>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</si>
  <si>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</si>
  <si>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</si>
  <si>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</si>
  <si>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</si>
  <si>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</si>
  <si>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</si>
  <si>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</si>
  <si>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</si>
  <si>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</si>
  <si>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</si>
  <si>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</si>
  <si>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</si>
  <si>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</si>
  <si>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</si>
  <si>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</si>
  <si>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</si>
  <si>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</si>
  <si>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</si>
  <si>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</si>
  <si>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</si>
  <si>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</si>
  <si>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</si>
  <si>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</si>
  <si>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</si>
  <si>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</si>
  <si>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</si>
  <si>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</si>
  <si>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</si>
  <si>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</si>
  <si>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</si>
  <si>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</si>
  <si>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</si>
  <si>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</si>
  <si>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</si>
  <si>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</si>
  <si>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</si>
  <si>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</si>
  <si>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</si>
  <si>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</si>
  <si>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</si>
  <si>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</si>
  <si>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</si>
  <si>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</si>
  <si>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</si>
  <si>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</si>
  <si>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</si>
  <si>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</si>
  <si>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</si>
  <si>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</si>
  <si>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</si>
  <si>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</si>
  <si>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</si>
  <si>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</si>
  <si>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</si>
  <si>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</si>
  <si>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</si>
  <si>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</si>
  <si>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</si>
  <si>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</si>
  <si>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</si>
  <si>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</si>
  <si>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</si>
  <si>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</si>
  <si>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</si>
  <si>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</si>
  <si>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</si>
  <si>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</si>
  <si>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</si>
  <si>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</si>
  <si>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</si>
  <si>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</si>
  <si>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</si>
  <si>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</si>
  <si>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</si>
  <si>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</si>
  <si>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</si>
  <si>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</si>
  <si>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</si>
  <si>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</si>
  <si>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</si>
  <si>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</si>
  <si>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</si>
  <si>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</si>
  <si>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</si>
  <si>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</si>
  <si>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</si>
  <si>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</si>
  <si>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</si>
  <si>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</si>
  <si>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</si>
  <si>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</si>
  <si>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</si>
  <si>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</si>
  <si>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</si>
  <si>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</si>
  <si>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</si>
  <si>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</si>
  <si>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</si>
  <si>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</si>
  <si>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</si>
  <si>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</si>
  <si>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</si>
  <si>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</si>
  <si>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</si>
  <si>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</si>
  <si>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</si>
  <si>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</si>
  <si>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</si>
  <si>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</si>
  <si>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</si>
  <si>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</si>
  <si>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</si>
  <si>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</si>
  <si>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</si>
  <si>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</si>
  <si>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</si>
  <si>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</si>
  <si>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</si>
  <si>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</si>
  <si>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</si>
  <si>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</si>
  <si>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</si>
  <si>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</si>
  <si>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</si>
  <si>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</si>
  <si>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</si>
  <si>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</si>
  <si>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</si>
  <si>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</si>
  <si>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</si>
  <si>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</si>
  <si>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</si>
  <si>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</si>
  <si>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</si>
  <si>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</si>
  <si>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</si>
  <si>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</si>
  <si>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</si>
  <si>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</si>
  <si>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</si>
  <si>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</si>
  <si>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</si>
  <si>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</si>
  <si>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</si>
  <si>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</si>
  <si>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</si>
  <si>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</si>
  <si>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</si>
  <si>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</si>
  <si>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</si>
  <si>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</si>
  <si>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</si>
  <si>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</si>
  <si>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</si>
  <si>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</si>
  <si>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</si>
  <si>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</si>
  <si>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</si>
  <si>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</si>
  <si>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</si>
  <si>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</si>
  <si>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</si>
  <si>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</si>
  <si>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</si>
  <si>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</si>
  <si>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</si>
  <si>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</si>
  <si>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</si>
  <si>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</si>
  <si>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</si>
  <si>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</si>
  <si>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</si>
  <si>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</si>
  <si>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</si>
  <si>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</si>
  <si>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</si>
  <si>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</si>
  <si>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</si>
  <si>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</si>
  <si>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</si>
  <si>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</si>
  <si>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</si>
  <si>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</si>
  <si>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</si>
  <si>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</si>
  <si>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</si>
  <si>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</si>
  <si>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</si>
  <si>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</si>
  <si>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</si>
  <si>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</si>
  <si>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</si>
  <si>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</si>
  <si>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</si>
  <si>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</si>
  <si>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</si>
  <si>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</si>
  <si>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</si>
  <si>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</si>
  <si>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</si>
  <si>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</si>
  <si>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</si>
  <si>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</si>
  <si>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</si>
  <si>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</si>
  <si>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</si>
  <si>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</si>
  <si>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</si>
  <si>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</si>
  <si>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</si>
  <si>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</si>
  <si>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</si>
  <si>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</si>
  <si>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</si>
  <si>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</si>
  <si>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</si>
  <si>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</si>
  <si>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</si>
  <si>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</si>
  <si>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</si>
  <si>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</si>
  <si>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</si>
  <si>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</si>
  <si>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</si>
  <si>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</si>
  <si>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</si>
  <si>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</si>
  <si>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</si>
  <si>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</si>
  <si>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</si>
  <si>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</si>
  <si>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</si>
  <si>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</si>
  <si>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</si>
  <si>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</si>
  <si>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</si>
  <si>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</si>
  <si>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</si>
  <si>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</si>
  <si>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</si>
  <si>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</si>
  <si>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</si>
  <si>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</si>
  <si>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</si>
  <si>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</si>
  <si>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</si>
  <si>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</si>
  <si>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</si>
  <si>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</si>
  <si>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</si>
  <si>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</si>
  <si>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</si>
  <si>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</si>
  <si>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</si>
  <si>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</si>
  <si>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</si>
  <si>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</si>
  <si>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</si>
  <si>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</si>
  <si>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</si>
  <si>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</si>
  <si>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</si>
  <si>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</si>
  <si>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</si>
  <si>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</si>
  <si>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</si>
  <si>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</si>
  <si>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</si>
  <si>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</si>
  <si>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</si>
  <si>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</si>
  <si>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</si>
  <si>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</si>
  <si>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</si>
  <si>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</si>
  <si>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</si>
  <si>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</si>
  <si>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</si>
  <si>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</si>
  <si>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</si>
  <si>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</si>
  <si>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</si>
  <si>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</si>
  <si>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</si>
  <si>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</si>
  <si>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</si>
  <si>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</si>
  <si>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</si>
  <si>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</si>
  <si>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</si>
  <si>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</si>
  <si>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</si>
  <si>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</si>
  <si>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</si>
  <si>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</si>
  <si>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</si>
  <si>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</si>
  <si>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</si>
  <si>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</si>
  <si>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</si>
  <si>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</si>
  <si>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</si>
  <si>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</si>
  <si>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</si>
  <si>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</si>
  <si>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</si>
  <si>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</si>
  <si>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</si>
  <si>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</si>
  <si>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</si>
  <si>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</si>
  <si>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</si>
  <si>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</si>
  <si>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</si>
  <si>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</si>
  <si>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</si>
  <si>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</si>
  <si>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</si>
  <si>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</si>
  <si>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</si>
  <si>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</si>
  <si>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</si>
  <si>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</si>
  <si>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</si>
  <si>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</si>
  <si>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</si>
  <si>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</si>
  <si>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</si>
  <si>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</si>
  <si>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</si>
  <si>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</si>
  <si>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</si>
  <si>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</si>
  <si>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</si>
  <si>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</si>
  <si>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</si>
  <si>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</si>
  <si>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</si>
  <si>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</si>
  <si>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</si>
  <si>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</si>
  <si>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</si>
  <si>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</si>
  <si>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</si>
  <si>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</si>
  <si>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</si>
  <si>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</si>
  <si>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</si>
  <si>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</si>
  <si>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</si>
  <si>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</si>
  <si>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</si>
  <si>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</si>
  <si>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</si>
  <si>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</si>
  <si>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</si>
  <si>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</si>
  <si>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</si>
  <si>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</si>
  <si>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</si>
  <si>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</si>
  <si>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</si>
  <si>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</si>
  <si>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</si>
  <si>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</si>
  <si>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</si>
  <si>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</si>
  <si>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</si>
  <si>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</si>
  <si>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</si>
  <si>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</si>
  <si>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</si>
  <si>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</si>
  <si>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</si>
  <si>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</si>
  <si>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FUNDACION MANOS A LA OBRA "FUNDAMOB"</t>
  </si>
  <si>
    <t>ASOCIACION FAMILIA PROYECTO AL FUTURO "FAPROF"</t>
  </si>
  <si>
    <t>CORPORACION AUTONOMA REGIONAL DEL TOLIMA "CORTOLIMA"</t>
  </si>
  <si>
    <t>001</t>
  </si>
  <si>
    <t>200</t>
  </si>
  <si>
    <t>535</t>
  </si>
  <si>
    <t>ANUNAR ESFUERZOS PARA DESARROLLAR, LOS PROGRAMAS GUAMBITOS DEL TOLIMA, PLAN PADRINO, YO TE DOY TU ME DAS Y ENSEÑANZAS CON AMOR, ASI COMO LAS ACTIVIDADES CONJUSTAS QUE PERMITAN EL ADECUADO FUNCIONAMIENTO DE ESTOS PROGRAMAS PARA QUE LA POBLACION BENEFICIADA COMO PRIMERA INFANCIA, MADRES GESTANTES, MADRES CABEZA DE FAMILIA, ADULTO MAYOR, PERSONAS QUE VIVEN CON VIH-SIDA Y EN CONDICION DE VULNERABILIADA, PARA QUE PUEDAN DISFRUTAR DE UNA MEJOR CALIDAD DE VIDA, CON EDUCACION, SALUD, NUTRICION , APOYO PSICOSOCIAL, CULTURA, RECREACION,  DEPORTE Y EN BUSCA DE UN AMBIENTE SANO</t>
  </si>
  <si>
    <t xml:space="preserve">AUNAR ESFUERZOS TÉCNICOS Y PROFESORALES EN LA EJECUCIÓN DE DIFERENTES PROYECTOS DE CARÁCTER SOCIAL EN EL MUNICIPIO DE ROVIRA TOLIMA. PROYECTOS ESTOS  QUE ESTÁN EN CAMINADOS A FORTALECER Y FAVORECER POBLACIÓN VULNERABLE PERTENECIENTES PROGRAMAS DE PRIMERA INFANCIA, MADRES GESTANTES Y MENORES DE 5 AÑOS EN CONDICIÓN DE VULNERACIÓN E INOPERANCIA DE SUS DERECHOS.  </t>
  </si>
  <si>
    <t>AUNAR ESFUERZOS PARA RECUPERACION DE LAS FUENTES HIDRICAS RANCHO FRIO Y CHORRRO FRIO DEL MUNICIPIO DEL VALLE DE SAN JUAN TOLIMA</t>
  </si>
  <si>
    <t>AUNAR ESFUERZOS PARA RECUPERACION DE LAS QUEBRADA LA GORDA  DEL MUNICIPIO DEL VALLE DE SAN JUAN TOLIMA</t>
  </si>
  <si>
    <t xml:space="preserve"> INSTITUTO COLOMBIANO DE BIENESTAR  “ICBF”</t>
  </si>
  <si>
    <t>213</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</si>
  <si>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“zona #2 del centro zonal LERIDA TOLIMA”</t>
  </si>
  <si>
    <t>188</t>
  </si>
  <si>
    <t>057</t>
  </si>
  <si>
    <t>24/02/2020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</si>
  <si>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“zona #17 del centro zonal LERIDA TOLIMA”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</si>
  <si>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</si>
  <si>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 xml:space="preserve">OSIRIS TRUJILLO MATTA </t>
  </si>
  <si>
    <t>OSIRIS TRUJILLO MATTA</t>
  </si>
  <si>
    <t>3209852495</t>
  </si>
  <si>
    <t>agro_aetol@hotmail.com</t>
  </si>
  <si>
    <t>CR 5 N 2-17 CENTRO BARRIO: MUNICIPIO DE ROVIRA MUNICIPIO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</si>
  <si>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</si>
  <si>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2021-25-10000887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</si>
</sst>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4" zoomScale="85" zoomScaleNormal="85" zoomScaleSheetLayoutView="40" zoomScalePageLayoutView="40" workbookViewId="0">
      <selection activeCell="O27" sqref="O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0" t="str">
        <f>HYPERLINK("#MI_Oferente_Singular!A114","CAPACIDAD RESIDUAL")</f>
        <v>CAPACIDAD RESIDUAL</v>
      </c>
      <c r="F8" s="241"/>
      <c r="G8" s="242"/>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0" t="str">
        <f>HYPERLINK("#MI_Oferente_Singular!A162","TALENTO HUMANO")</f>
        <v>TALENTO HUMANO</v>
      </c>
      <c r="F9" s="241"/>
      <c r="G9" s="242"/>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0" t="str">
        <f>HYPERLINK("#MI_Oferente_Singular!F162","INFRAESTRUCTURA")</f>
        <v>INFRAESTRUCTURA</v>
      </c>
      <c r="F10" s="241"/>
      <c r="G10" s="242"/>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516</v>
      </c>
      <c r="I15" s="32" t="s">
        <v>2624</v>
      </c>
      <c r="J15" s="108" t="s">
        <v>2626</v>
      </c>
      <c r="L15" s="224" t="s">
        <v>8</v>
      </c>
      <c r="M15" s="224"/>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8" t="s">
        <v>11</v>
      </c>
      <c r="J19" s="139" t="s">
        <v>10</v>
      </c>
      <c r="K19" s="139" t="s">
        <v>2609</v>
      </c>
      <c r="L19" s="139" t="s">
        <v>1161</v>
      </c>
      <c r="M19" s="139" t="s">
        <v>1162</v>
      </c>
      <c r="N19" s="140" t="s">
        <v>2610</v>
      </c>
      <c r="O19" s="135"/>
      <c r="Q19" s="51"/>
      <c r="R19" s="51"/>
    </row>
    <row r="20" spans="1:23" ht="30" customHeight="1" x14ac:dyDescent="0.25">
      <c r="A20" s="9"/>
      <c r="B20" s="109">
        <v>900458959</v>
      </c>
      <c r="C20" s="5"/>
      <c r="D20" s="73"/>
      <c r="E20" s="5"/>
      <c r="F20" s="5"/>
      <c r="G20" s="5"/>
      <c r="H20" s="243"/>
      <c r="I20" s="147" t="s">
        <v>516</v>
      </c>
      <c r="J20" s="148" t="s">
        <v>517</v>
      </c>
      <c r="K20" s="149">
        <v>1079880124</v>
      </c>
      <c r="L20" s="150">
        <v>44197</v>
      </c>
      <c r="M20" s="150">
        <v>44561</v>
      </c>
      <c r="N20" s="133">
        <f>+(M20-L20)/30</f>
        <v>12.133333333333333</v>
      </c>
      <c r="O20" s="136"/>
      <c r="U20" s="132"/>
      <c r="V20" s="105">
        <f ca="1">NOW()</f>
        <v>44193.860383333333</v>
      </c>
      <c r="W20" s="105">
        <f ca="1">NOW()</f>
        <v>44193.860383333333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238" t="str">
        <f>VLOOKUP(B20,EAS!A2:B1439,2,0)</f>
        <v>ASOCIACIÓN AGROECOLOGICA DEL TOLIMA AETOL</v>
      </c>
      <c r="C38" s="238"/>
      <c r="D38" s="238"/>
      <c r="E38" s="238"/>
      <c r="F38" s="238"/>
      <c r="G38" s="5"/>
      <c r="H38" s="130"/>
      <c r="I38" s="247" t="s">
        <v>7</v>
      </c>
      <c r="J38" s="247"/>
      <c r="K38" s="247"/>
      <c r="L38" s="247"/>
      <c r="M38" s="247"/>
      <c r="N38" s="247"/>
      <c r="O38" s="131"/>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2676</v>
      </c>
      <c r="C48" s="112" t="s">
        <v>32</v>
      </c>
      <c r="D48" s="119" t="s">
        <v>2679</v>
      </c>
      <c r="E48" s="175">
        <v>40763</v>
      </c>
      <c r="F48" s="175">
        <v>43108</v>
      </c>
      <c r="G48" s="158">
        <f>IF(AND(E48&lt;&gt;"",F48&lt;&gt;""),((F48-E48)/30),"")</f>
        <v>78.166666666666671</v>
      </c>
      <c r="H48" s="120" t="s">
        <v>2682</v>
      </c>
      <c r="I48" s="119" t="s">
        <v>986</v>
      </c>
      <c r="J48" s="119" t="s">
        <v>988</v>
      </c>
      <c r="K48" s="121">
        <v>376750000</v>
      </c>
      <c r="L48" s="115" t="s">
        <v>1148</v>
      </c>
      <c r="M48" s="116">
        <v>1</v>
      </c>
      <c r="N48" s="115" t="s">
        <v>2634</v>
      </c>
      <c r="O48" s="115" t="s">
        <v>26</v>
      </c>
      <c r="P48" s="78"/>
    </row>
    <row r="49" spans="1:16" s="6" customFormat="1" ht="24.75" customHeight="1" x14ac:dyDescent="0.25">
      <c r="A49" s="141">
        <v>2</v>
      </c>
      <c r="B49" s="120" t="s">
        <v>2677</v>
      </c>
      <c r="C49" s="112" t="s">
        <v>32</v>
      </c>
      <c r="D49" s="119" t="s">
        <v>2679</v>
      </c>
      <c r="E49" s="175">
        <v>41662</v>
      </c>
      <c r="F49" s="175">
        <v>43069</v>
      </c>
      <c r="G49" s="158">
        <f t="shared" ref="G49:G50" si="2">IF(AND(E49&lt;&gt;"",F49&lt;&gt;""),((F49-E49)/30),"")</f>
        <v>46.9</v>
      </c>
      <c r="H49" s="176" t="s">
        <v>2683</v>
      </c>
      <c r="I49" s="119" t="s">
        <v>986</v>
      </c>
      <c r="J49" s="119" t="s">
        <v>1025</v>
      </c>
      <c r="K49" s="121">
        <v>304291000</v>
      </c>
      <c r="L49" s="115" t="s">
        <v>1148</v>
      </c>
      <c r="M49" s="116">
        <v>1</v>
      </c>
      <c r="N49" s="115" t="s">
        <v>2634</v>
      </c>
      <c r="O49" s="115" t="s">
        <v>26</v>
      </c>
      <c r="P49" s="78"/>
    </row>
    <row r="50" spans="1:16" s="6" customFormat="1" ht="24.75" customHeight="1" x14ac:dyDescent="0.25">
      <c r="A50" s="141">
        <v>3</v>
      </c>
      <c r="B50" s="120" t="s">
        <v>2678</v>
      </c>
      <c r="C50" s="112" t="s">
        <v>32</v>
      </c>
      <c r="D50" s="119" t="s">
        <v>2680</v>
      </c>
      <c r="E50" s="175">
        <v>41439</v>
      </c>
      <c r="F50" s="175">
        <v>41499</v>
      </c>
      <c r="G50" s="158">
        <f t="shared" si="2"/>
        <v>2</v>
      </c>
      <c r="H50" s="120" t="s">
        <v>2684</v>
      </c>
      <c r="I50" s="119" t="s">
        <v>986</v>
      </c>
      <c r="J50" s="119" t="s">
        <v>1029</v>
      </c>
      <c r="K50" s="121">
        <v>80156928</v>
      </c>
      <c r="L50" s="115" t="s">
        <v>1148</v>
      </c>
      <c r="M50" s="116">
        <v>1</v>
      </c>
      <c r="N50" s="115" t="s">
        <v>2634</v>
      </c>
      <c r="O50" s="115" t="s">
        <v>26</v>
      </c>
      <c r="P50" s="78"/>
    </row>
    <row r="51" spans="1:16" s="6" customFormat="1" ht="24.75" customHeight="1" outlineLevel="1" x14ac:dyDescent="0.25">
      <c r="A51" s="141">
        <v>4</v>
      </c>
      <c r="B51" s="120" t="s">
        <v>2678</v>
      </c>
      <c r="C51" s="112" t="s">
        <v>32</v>
      </c>
      <c r="D51" s="119" t="s">
        <v>2681</v>
      </c>
      <c r="E51" s="175">
        <v>41619</v>
      </c>
      <c r="F51" s="175">
        <v>41729</v>
      </c>
      <c r="G51" s="158">
        <f t="shared" ref="G51:G107" si="3">IF(AND(E51&lt;&gt;"",F51&lt;&gt;""),((F51-E51)/30),"")</f>
        <v>3.6666666666666665</v>
      </c>
      <c r="H51" s="120" t="s">
        <v>2685</v>
      </c>
      <c r="I51" s="119" t="s">
        <v>986</v>
      </c>
      <c r="J51" s="119" t="s">
        <v>1029</v>
      </c>
      <c r="K51" s="117">
        <v>113552294</v>
      </c>
      <c r="L51" s="115" t="s">
        <v>1148</v>
      </c>
      <c r="M51" s="116">
        <v>1</v>
      </c>
      <c r="N51" s="115" t="s">
        <v>2634</v>
      </c>
      <c r="O51" s="115" t="s">
        <v>26</v>
      </c>
      <c r="P51" s="78"/>
    </row>
    <row r="52" spans="1:16" s="7" customFormat="1" ht="24.75" customHeight="1" outlineLevel="1" x14ac:dyDescent="0.25">
      <c r="A52" s="142">
        <v>5</v>
      </c>
      <c r="B52" s="111" t="s">
        <v>2686</v>
      </c>
      <c r="C52" s="112" t="s">
        <v>31</v>
      </c>
      <c r="D52" s="119" t="s">
        <v>2687</v>
      </c>
      <c r="E52" s="175">
        <v>43894</v>
      </c>
      <c r="F52" s="175">
        <v>44165</v>
      </c>
      <c r="G52" s="158">
        <f t="shared" si="3"/>
        <v>9.0333333333333332</v>
      </c>
      <c r="H52" s="120" t="s">
        <v>2688</v>
      </c>
      <c r="I52" s="113" t="s">
        <v>986</v>
      </c>
      <c r="J52" s="113" t="s">
        <v>1011</v>
      </c>
      <c r="K52" s="68">
        <v>111832020</v>
      </c>
      <c r="L52" s="115" t="s">
        <v>1148</v>
      </c>
      <c r="M52" s="116">
        <v>1</v>
      </c>
      <c r="N52" s="115" t="s">
        <v>27</v>
      </c>
      <c r="O52" s="115" t="s">
        <v>1148</v>
      </c>
      <c r="P52" s="79"/>
    </row>
    <row r="53" spans="1:16" s="7" customFormat="1" ht="24.75" customHeight="1" outlineLevel="1" x14ac:dyDescent="0.25">
      <c r="A53" s="142">
        <v>6</v>
      </c>
      <c r="B53" s="120" t="s">
        <v>2686</v>
      </c>
      <c r="C53" s="112" t="s">
        <v>31</v>
      </c>
      <c r="D53" s="119" t="s">
        <v>2687</v>
      </c>
      <c r="E53" s="175">
        <v>43894</v>
      </c>
      <c r="F53" s="175">
        <v>44165</v>
      </c>
      <c r="G53" s="158">
        <f t="shared" si="3"/>
        <v>9.0333333333333332</v>
      </c>
      <c r="H53" s="120" t="s">
        <v>2688</v>
      </c>
      <c r="I53" s="113" t="s">
        <v>986</v>
      </c>
      <c r="J53" s="113" t="s">
        <v>993</v>
      </c>
      <c r="K53" s="68">
        <v>111832020</v>
      </c>
      <c r="L53" s="115" t="s">
        <v>1148</v>
      </c>
      <c r="M53" s="116">
        <v>1</v>
      </c>
      <c r="N53" s="115" t="s">
        <v>27</v>
      </c>
      <c r="O53" s="115" t="s">
        <v>1148</v>
      </c>
      <c r="P53" s="79"/>
    </row>
    <row r="54" spans="1:16" s="7" customFormat="1" ht="24.75" customHeight="1" outlineLevel="1" x14ac:dyDescent="0.25">
      <c r="A54" s="142">
        <v>7</v>
      </c>
      <c r="B54" s="120" t="s">
        <v>2686</v>
      </c>
      <c r="C54" s="112" t="s">
        <v>31</v>
      </c>
      <c r="D54" s="119" t="s">
        <v>2687</v>
      </c>
      <c r="E54" s="175">
        <v>43894</v>
      </c>
      <c r="F54" s="175">
        <v>44165</v>
      </c>
      <c r="G54" s="158">
        <f t="shared" si="3"/>
        <v>9.0333333333333332</v>
      </c>
      <c r="H54" s="120" t="s">
        <v>2688</v>
      </c>
      <c r="I54" s="113" t="s">
        <v>986</v>
      </c>
      <c r="J54" s="113" t="s">
        <v>991</v>
      </c>
      <c r="K54" s="68">
        <v>134198424</v>
      </c>
      <c r="L54" s="115" t="s">
        <v>1148</v>
      </c>
      <c r="M54" s="116">
        <v>1</v>
      </c>
      <c r="N54" s="115" t="s">
        <v>27</v>
      </c>
      <c r="O54" s="115" t="s">
        <v>1148</v>
      </c>
      <c r="P54" s="79"/>
    </row>
    <row r="55" spans="1:16" s="7" customFormat="1" ht="24.75" customHeight="1" outlineLevel="1" x14ac:dyDescent="0.25">
      <c r="A55" s="142">
        <v>8</v>
      </c>
      <c r="B55" s="120" t="s">
        <v>2686</v>
      </c>
      <c r="C55" s="112" t="s">
        <v>31</v>
      </c>
      <c r="D55" s="119" t="s">
        <v>2687</v>
      </c>
      <c r="E55" s="175">
        <v>43894</v>
      </c>
      <c r="F55" s="175">
        <v>44165</v>
      </c>
      <c r="G55" s="158">
        <f t="shared" si="3"/>
        <v>9.0333333333333332</v>
      </c>
      <c r="H55" s="120" t="s">
        <v>2688</v>
      </c>
      <c r="I55" s="113" t="s">
        <v>986</v>
      </c>
      <c r="J55" s="113" t="s">
        <v>1030</v>
      </c>
      <c r="K55" s="68">
        <v>89465616</v>
      </c>
      <c r="L55" s="115" t="s">
        <v>1148</v>
      </c>
      <c r="M55" s="116">
        <v>1</v>
      </c>
      <c r="N55" s="115" t="s">
        <v>27</v>
      </c>
      <c r="O55" s="115" t="s">
        <v>1148</v>
      </c>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2689</v>
      </c>
      <c r="E114" s="175">
        <v>43876</v>
      </c>
      <c r="F114" s="175">
        <v>44196</v>
      </c>
      <c r="G114" s="158">
        <f>IF(AND(E114&lt;&gt;"",F114&lt;&gt;""),((F114-E114)/30),"")</f>
        <v>10.666666666666666</v>
      </c>
      <c r="H114" s="120" t="s">
        <v>2692</v>
      </c>
      <c r="I114" s="119" t="s">
        <v>986</v>
      </c>
      <c r="J114" s="119" t="s">
        <v>1011</v>
      </c>
      <c r="K114" s="68">
        <v>330058222</v>
      </c>
      <c r="L114" s="100">
        <f>+IF(AND(K114&gt;0,O114="Ejecución"),(K114/877802)*Tabla28[[#This Row],[% participación]],IF(AND(K114&gt;0,O114&lt;&gt;"Ejecución"),"-",""))</f>
        <v>376.00532010635658</v>
      </c>
      <c r="M114" s="122" t="s">
        <v>1148</v>
      </c>
      <c r="N114" s="171">
        <v>1</v>
      </c>
      <c r="O114" s="160" t="s">
        <v>1150</v>
      </c>
      <c r="P114" s="78"/>
    </row>
    <row r="115" spans="1:16" s="6" customFormat="1" ht="24.75" customHeight="1" x14ac:dyDescent="0.25">
      <c r="A115" s="141">
        <v>2</v>
      </c>
      <c r="B115" s="159" t="s">
        <v>2665</v>
      </c>
      <c r="C115" s="161" t="s">
        <v>31</v>
      </c>
      <c r="D115" s="63" t="s">
        <v>2689</v>
      </c>
      <c r="E115" s="175">
        <v>43876</v>
      </c>
      <c r="F115" s="175">
        <v>44196</v>
      </c>
      <c r="G115" s="158">
        <f t="shared" ref="G115:G116" si="4">IF(AND(E115&lt;&gt;"",F115&lt;&gt;""),((F115-E115)/30),"")</f>
        <v>10.666666666666666</v>
      </c>
      <c r="H115" s="120" t="s">
        <v>2692</v>
      </c>
      <c r="I115" s="63" t="s">
        <v>986</v>
      </c>
      <c r="J115" s="63" t="s">
        <v>993</v>
      </c>
      <c r="K115" s="68">
        <v>330058222</v>
      </c>
      <c r="L115" s="100">
        <f>+IF(AND(K115&gt;0,O115="Ejecución"),(K115/877802)*Tabla28[[#This Row],[% participación]],IF(AND(K115&gt;0,O115&lt;&gt;"Ejecución"),"-",""))</f>
        <v>376.00532010635658</v>
      </c>
      <c r="M115" s="65" t="s">
        <v>1148</v>
      </c>
      <c r="N115" s="171">
        <v>1</v>
      </c>
      <c r="O115" s="160" t="s">
        <v>1150</v>
      </c>
      <c r="P115" s="78"/>
    </row>
    <row r="116" spans="1:16" s="6" customFormat="1" ht="24.75" customHeight="1" x14ac:dyDescent="0.25">
      <c r="A116" s="141">
        <v>3</v>
      </c>
      <c r="B116" s="159" t="s">
        <v>2665</v>
      </c>
      <c r="C116" s="161" t="s">
        <v>31</v>
      </c>
      <c r="D116" s="63" t="s">
        <v>2689</v>
      </c>
      <c r="E116" s="175">
        <v>43876</v>
      </c>
      <c r="F116" s="175">
        <v>44196</v>
      </c>
      <c r="G116" s="158">
        <f t="shared" si="4"/>
        <v>10.666666666666666</v>
      </c>
      <c r="H116" s="120" t="s">
        <v>2692</v>
      </c>
      <c r="I116" s="63" t="s">
        <v>986</v>
      </c>
      <c r="J116" s="63" t="s">
        <v>1030</v>
      </c>
      <c r="K116" s="68">
        <v>310254708</v>
      </c>
      <c r="L116" s="100">
        <f>+IF(AND(K116&gt;0,O116="Ejecución"),(K116/877802)*Tabla28[[#This Row],[% participación]],IF(AND(K116&gt;0,O116&lt;&gt;"Ejecución"),"-",""))</f>
        <v>353.44497734113162</v>
      </c>
      <c r="M116" s="65" t="s">
        <v>1148</v>
      </c>
      <c r="N116" s="171">
        <v>1</v>
      </c>
      <c r="O116" s="160" t="s">
        <v>1150</v>
      </c>
      <c r="P116" s="78"/>
    </row>
    <row r="117" spans="1:16" s="6" customFormat="1" ht="24.75" customHeight="1" outlineLevel="1" x14ac:dyDescent="0.25">
      <c r="A117" s="141">
        <v>4</v>
      </c>
      <c r="B117" s="159" t="s">
        <v>2665</v>
      </c>
      <c r="C117" s="161" t="s">
        <v>31</v>
      </c>
      <c r="D117" s="63" t="s">
        <v>2690</v>
      </c>
      <c r="E117" s="119" t="s">
        <v>2691</v>
      </c>
      <c r="F117" s="175">
        <v>44196</v>
      </c>
      <c r="G117" s="158">
        <f t="shared" ref="G117:G159" si="5">IF(AND(E117&lt;&gt;"",F117&lt;&gt;""),((F117-E117)/30),"")</f>
        <v>10.366666666666667</v>
      </c>
      <c r="H117" s="120" t="s">
        <v>2693</v>
      </c>
      <c r="I117" s="63" t="s">
        <v>1109</v>
      </c>
      <c r="J117" s="63" t="s">
        <v>1113</v>
      </c>
      <c r="K117" s="68">
        <v>814366725</v>
      </c>
      <c r="L117" s="100">
        <f>+IF(AND(K117&gt;0,O117="Ejecución"),(K117/877802)*Tabla28[[#This Row],[% participación]],IF(AND(K117&gt;0,O117&lt;&gt;"Ejecución"),"-",""))</f>
        <v>927.7339593666909</v>
      </c>
      <c r="M117" s="65" t="s">
        <v>1148</v>
      </c>
      <c r="N117" s="171">
        <f>+IF(M118="No",1,IF(M118="Si","Ingrese %",""))</f>
        <v>1</v>
      </c>
      <c r="O117" s="160" t="s">
        <v>1150</v>
      </c>
      <c r="P117" s="78"/>
    </row>
    <row r="118" spans="1:16" s="7" customFormat="1" ht="24.75" customHeight="1" outlineLevel="1" x14ac:dyDescent="0.25">
      <c r="A118" s="142">
        <v>5</v>
      </c>
      <c r="B118" s="159" t="s">
        <v>2665</v>
      </c>
      <c r="C118" s="161" t="s">
        <v>31</v>
      </c>
      <c r="D118" s="63" t="s">
        <v>2690</v>
      </c>
      <c r="E118" s="119" t="s">
        <v>2691</v>
      </c>
      <c r="F118" s="175">
        <v>44196</v>
      </c>
      <c r="G118" s="158">
        <f t="shared" si="5"/>
        <v>10.366666666666667</v>
      </c>
      <c r="H118" s="120" t="s">
        <v>2693</v>
      </c>
      <c r="I118" s="63" t="s">
        <v>1109</v>
      </c>
      <c r="J118" s="63" t="s">
        <v>1114</v>
      </c>
      <c r="K118" s="68">
        <v>445356803</v>
      </c>
      <c r="L118" s="100">
        <f>+IF(AND(K118&gt;0,O118="Ejecución"),(K118/877802)*Tabla28[[#This Row],[% participación]],IF(AND(K118&gt;0,O118&lt;&gt;"Ejecución"),"-",""))</f>
        <v>507.35450933126151</v>
      </c>
      <c r="M118" s="65"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5"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2"/>
      <c r="Z178" s="163" t="str">
        <f>IF(Y178&gt;0,SUM(E180+Y178),"")</f>
        <v/>
      </c>
      <c r="AA178" s="19"/>
      <c r="AB178" s="19"/>
    </row>
    <row r="179" spans="1:28" ht="23.25" x14ac:dyDescent="0.25">
      <c r="A179" s="9"/>
      <c r="B179" s="191" t="s">
        <v>2669</v>
      </c>
      <c r="C179" s="191"/>
      <c r="D179" s="191"/>
      <c r="E179" s="169">
        <v>0.02</v>
      </c>
      <c r="F179" s="168">
        <v>0.03</v>
      </c>
      <c r="G179" s="163">
        <f>IF(F179&gt;0,SUM(E179+F179),"")</f>
        <v>0.05</v>
      </c>
      <c r="H179" s="5"/>
      <c r="I179" s="191" t="s">
        <v>2671</v>
      </c>
      <c r="J179" s="191"/>
      <c r="K179" s="191"/>
      <c r="L179" s="191"/>
      <c r="M179" s="170">
        <v>3.5000000000000003E-2</v>
      </c>
      <c r="O179" s="8"/>
      <c r="Q179" s="19"/>
      <c r="R179" s="157">
        <f>IF(M179&gt;0,SUM(L179+M179),"")</f>
        <v>3.5000000000000003E-2</v>
      </c>
      <c r="T179" s="19"/>
      <c r="U179" s="237" t="s">
        <v>1166</v>
      </c>
      <c r="V179" s="237"/>
      <c r="W179" s="237"/>
      <c r="X179" s="24">
        <v>0.02</v>
      </c>
      <c r="Y179" s="162"/>
      <c r="Z179" s="163" t="str">
        <f>IF(Y179&gt;0,SUM(E181+Y179),"")</f>
        <v/>
      </c>
      <c r="AA179" s="19"/>
      <c r="AB179" s="19"/>
    </row>
    <row r="180" spans="1:28" ht="23.25" hidden="1" x14ac:dyDescent="0.25">
      <c r="A180" s="9"/>
      <c r="B180" s="177"/>
      <c r="C180" s="177"/>
      <c r="D180" s="177"/>
      <c r="E180" s="167"/>
      <c r="H180" s="5"/>
      <c r="I180" s="177"/>
      <c r="J180" s="177"/>
      <c r="K180" s="177"/>
      <c r="L180" s="177"/>
      <c r="M180" s="5"/>
      <c r="O180" s="8"/>
      <c r="Q180" s="19"/>
      <c r="R180" s="157" t="str">
        <f>IF(S180&gt;0,SUM(L180+S180),"")</f>
        <v/>
      </c>
      <c r="S180" s="162"/>
      <c r="T180" s="19"/>
      <c r="U180" s="237" t="s">
        <v>1167</v>
      </c>
      <c r="V180" s="237"/>
      <c r="W180" s="237"/>
      <c r="X180" s="24">
        <v>0.03</v>
      </c>
      <c r="Y180" s="162"/>
      <c r="Z180" s="163" t="str">
        <f>IF(Y180&gt;0,SUM(E182+Y180),"")</f>
        <v/>
      </c>
      <c r="AA180" s="19"/>
      <c r="AB180" s="19"/>
    </row>
    <row r="181" spans="1:28" ht="23.25" hidden="1" x14ac:dyDescent="0.25">
      <c r="A181" s="9"/>
      <c r="B181" s="177"/>
      <c r="C181" s="177"/>
      <c r="D181" s="177"/>
      <c r="E181" s="167"/>
      <c r="H181" s="5"/>
      <c r="I181" s="177"/>
      <c r="J181" s="177"/>
      <c r="K181" s="177"/>
      <c r="L181" s="177"/>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7"/>
      <c r="C182" s="177"/>
      <c r="D182" s="177"/>
      <c r="E182" s="167"/>
      <c r="H182" s="5"/>
      <c r="I182" s="177"/>
      <c r="J182" s="177"/>
      <c r="K182" s="177"/>
      <c r="L182" s="177"/>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53994006.200000003</v>
      </c>
      <c r="F185" s="92"/>
      <c r="G185" s="93"/>
      <c r="H185" s="88"/>
      <c r="I185" s="90" t="s">
        <v>2627</v>
      </c>
      <c r="J185" s="164">
        <f>+SUM(M179:M183)</f>
        <v>3.5000000000000003E-2</v>
      </c>
      <c r="K185" s="236" t="s">
        <v>2628</v>
      </c>
      <c r="L185" s="236"/>
      <c r="M185" s="94">
        <f>+J185*(SUM(K20:K35))</f>
        <v>37795804.340000004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5" t="s">
        <v>2636</v>
      </c>
      <c r="C192" s="195"/>
      <c r="E192" s="5" t="s">
        <v>20</v>
      </c>
      <c r="H192" s="26" t="s">
        <v>24</v>
      </c>
      <c r="J192" s="5" t="s">
        <v>2637</v>
      </c>
      <c r="K192" s="5"/>
      <c r="M192" s="5"/>
      <c r="N192" s="5"/>
      <c r="O192" s="8"/>
      <c r="Q192" s="152"/>
      <c r="R192" s="153"/>
      <c r="S192" s="153"/>
      <c r="T192" s="152"/>
    </row>
    <row r="193" spans="1:18" x14ac:dyDescent="0.25">
      <c r="A193" s="9"/>
      <c r="C193" s="123">
        <v>41970</v>
      </c>
      <c r="D193" s="5"/>
      <c r="E193" s="124">
        <v>2226</v>
      </c>
      <c r="F193" s="5"/>
      <c r="G193" s="5"/>
      <c r="H193" s="145" t="s">
        <v>2694</v>
      </c>
      <c r="J193" s="5"/>
      <c r="K193" s="125">
        <v>43876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2698</v>
      </c>
      <c r="J211" s="27" t="s">
        <v>2622</v>
      </c>
      <c r="K211" s="146" t="s">
        <v>2698</v>
      </c>
      <c r="L211" s="21"/>
      <c r="M211" s="21"/>
      <c r="N211" s="21"/>
      <c r="O211" s="8"/>
    </row>
    <row r="212" spans="1:15" x14ac:dyDescent="0.25">
      <c r="A212" s="9"/>
      <c r="B212" s="27" t="s">
        <v>2619</v>
      </c>
      <c r="C212" s="145" t="s">
        <v>2695</v>
      </c>
      <c r="D212" s="21"/>
      <c r="G212" s="27" t="s">
        <v>2621</v>
      </c>
      <c r="H212" s="146" t="s">
        <v>2696</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purl.org/dc/dcmitype/"/>
    <ds:schemaRef ds:uri="4fb10211-09fb-4e80-9f0b-184718d5d98c"/>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Full name</cp:lastModifiedBy>
  <cp:lastPrinted>2020-12-28T21:14:19Z</cp:lastPrinted>
  <dcterms:created xsi:type="dcterms:W3CDTF">2020-10-14T21:57:42Z</dcterms:created>
  <dcterms:modified xsi:type="dcterms:W3CDTF">2020-12-29T01:39:15Z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