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<sst xmlns="http://schemas.openxmlformats.org/spreadsheetml/2006/main" count="3118" uniqueCount="2701">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</sst>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2" zoomScale="70" zoomScaleNormal="70" zoomScaleSheetLayoutView="40" zoomScalePageLayoutView="40" workbookViewId="0">
      <selection activeCell="A40" sqref="A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453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900457831</v>
      </c>
      <c r="C20" s="5"/>
      <c r="D20" s="73"/>
      <c r="E20" s="5"/>
      <c r="F20" s="5"/>
      <c r="G20" s="5"/>
      <c r="H20" s="239"/>
      <c r="I20" s="140" t="s">
        <v>453</v>
      </c>
      <c r="J20" s="141" t="s">
        <v>971</v>
      </c>
      <c r="K20" s="142">
        <v>1009111126</v>
      </c>
      <c r="L20" s="143">
        <v>44194</v>
      </c>
      <c r="M20" s="143">
        <v>44561</v>
      </c>
      <c r="N20" s="126">
        <f>+(M20-L20)/30</f>
        <v>12.233333333333333</v>
      </c>
      <c r="O20" s="129"/>
      <c r="U20" s="125"/>
      <c r="V20" s="105">
        <f ca="1">NOW()</f>
        <v>44193.615052314817</v>
      </c>
      <c r="W20" s="105">
        <f ca="1">NOW()</f>
        <v>44193.615052314817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CORPORACION PIEDRALIPE CORPOPIEDRALIPE</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2692</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71" t="s">
        <v>2665</v>
      </c>
      <c r="C48" s="116" t="s">
        <v>31</v>
      </c>
      <c r="D48" s="170" t="s">
        <v>2693</v>
      </c>
      <c r="E48" s="136">
        <v>42403</v>
      </c>
      <c r="F48" s="136">
        <v>42521</v>
      </c>
      <c r="G48" s="151">
        <f>IF(AND(E48&lt;&gt;"",F48&lt;&gt;""),((F48-E48)/30),"")</f>
        <v>3.9333333333333331</v>
      </c>
      <c r="H48" s="171" t="s">
        <v>2694</v>
      </c>
      <c r="I48" s="170" t="s">
        <v>453</v>
      </c>
      <c r="J48" s="170" t="s">
        <v>973</v>
      </c>
      <c r="K48" s="115">
        <v>1134274821</v>
      </c>
      <c r="L48" s="116" t="s">
        <v>1148</v>
      </c>
      <c r="M48" s="111">
        <v>1</v>
      </c>
      <c r="N48" s="116" t="s">
        <v>27</v>
      </c>
      <c r="O48" s="116" t="s">
        <v>26</v>
      </c>
      <c r="P48" s="78"/>
    </row>
    <row r="49" spans="1:16" s="6" customFormat="1" ht="24.75" customHeight="1" x14ac:dyDescent="0.25">
      <c r="A49" s="134">
        <v>2</v>
      </c>
      <c r="B49" s="171" t="s">
        <v>2665</v>
      </c>
      <c r="C49" s="116" t="s">
        <v>31</v>
      </c>
      <c r="D49" s="170" t="s">
        <v>2693</v>
      </c>
      <c r="E49" s="136">
        <v>42403</v>
      </c>
      <c r="F49" s="136">
        <v>42521</v>
      </c>
      <c r="G49" s="151">
        <f t="shared" ref="G49:G50" si="2">IF(AND(E49&lt;&gt;"",F49&lt;&gt;""),((F49-E49)/30),"")</f>
        <v>3.9333333333333331</v>
      </c>
      <c r="H49" s="171" t="s">
        <v>2694</v>
      </c>
      <c r="I49" s="170" t="s">
        <v>453</v>
      </c>
      <c r="J49" s="170" t="s">
        <v>971</v>
      </c>
      <c r="K49" s="115">
        <v>1134274821</v>
      </c>
      <c r="L49" s="116" t="s">
        <v>1148</v>
      </c>
      <c r="M49" s="111">
        <v>1</v>
      </c>
      <c r="N49" s="116" t="s">
        <v>27</v>
      </c>
      <c r="O49" s="116" t="s">
        <v>26</v>
      </c>
      <c r="P49" s="78"/>
    </row>
    <row r="50" spans="1:16" s="6" customFormat="1" ht="24.75" customHeight="1" x14ac:dyDescent="0.25">
      <c r="A50" s="134">
        <v>3</v>
      </c>
      <c r="B50" s="171" t="s">
        <v>2665</v>
      </c>
      <c r="C50" s="116" t="s">
        <v>31</v>
      </c>
      <c r="D50" s="170" t="s">
        <v>2695</v>
      </c>
      <c r="E50" s="136">
        <v>43085</v>
      </c>
      <c r="F50" s="136">
        <v>43312</v>
      </c>
      <c r="G50" s="151">
        <f t="shared" si="2"/>
        <v>7.5666666666666664</v>
      </c>
      <c r="H50" s="171" t="s">
        <v>2696</v>
      </c>
      <c r="I50" s="170" t="s">
        <v>453</v>
      </c>
      <c r="J50" s="170" t="s">
        <v>973</v>
      </c>
      <c r="K50" s="115">
        <v>2088161353</v>
      </c>
      <c r="L50" s="116" t="s">
        <v>1148</v>
      </c>
      <c r="M50" s="111">
        <v>1</v>
      </c>
      <c r="N50" s="116" t="s">
        <v>27</v>
      </c>
      <c r="O50" s="116" t="s">
        <v>1148</v>
      </c>
      <c r="P50" s="78"/>
    </row>
    <row r="51" spans="1:16" s="6" customFormat="1" ht="24.75" customHeight="1" outlineLevel="1" x14ac:dyDescent="0.25">
      <c r="A51" s="134">
        <v>4</v>
      </c>
      <c r="B51" s="171" t="s">
        <v>2665</v>
      </c>
      <c r="C51" s="116" t="s">
        <v>31</v>
      </c>
      <c r="D51" s="170" t="s">
        <v>2695</v>
      </c>
      <c r="E51" s="136">
        <v>43085</v>
      </c>
      <c r="F51" s="136">
        <v>43312</v>
      </c>
      <c r="G51" s="151">
        <f t="shared" ref="G51:G107" si="3">IF(AND(E51&lt;&gt;"",F51&lt;&gt;""),((F51-E51)/30),"")</f>
        <v>7.5666666666666664</v>
      </c>
      <c r="H51" s="171" t="s">
        <v>2696</v>
      </c>
      <c r="I51" s="170" t="s">
        <v>453</v>
      </c>
      <c r="J51" s="170" t="s">
        <v>971</v>
      </c>
      <c r="K51" s="115">
        <v>2088161353</v>
      </c>
      <c r="L51" s="116" t="s">
        <v>1148</v>
      </c>
      <c r="M51" s="111">
        <v>1</v>
      </c>
      <c r="N51" s="116" t="s">
        <v>27</v>
      </c>
      <c r="O51" s="116" t="s">
        <v>1148</v>
      </c>
      <c r="P51" s="78"/>
    </row>
    <row r="52" spans="1:16" s="7" customFormat="1" ht="24.75" customHeight="1" outlineLevel="1" x14ac:dyDescent="0.25">
      <c r="A52" s="135">
        <v>5</v>
      </c>
      <c r="B52" s="171" t="s">
        <v>2665</v>
      </c>
      <c r="C52" s="116" t="s">
        <v>31</v>
      </c>
      <c r="D52" s="170" t="s">
        <v>2697</v>
      </c>
      <c r="E52" s="136">
        <v>43313</v>
      </c>
      <c r="F52" s="136">
        <v>43434</v>
      </c>
      <c r="G52" s="151">
        <f t="shared" si="3"/>
        <v>4.0333333333333332</v>
      </c>
      <c r="H52" s="171" t="s">
        <v>2696</v>
      </c>
      <c r="I52" s="170" t="s">
        <v>453</v>
      </c>
      <c r="J52" s="170" t="s">
        <v>973</v>
      </c>
      <c r="K52" s="115">
        <v>277549128</v>
      </c>
      <c r="L52" s="116" t="s">
        <v>1148</v>
      </c>
      <c r="M52" s="111">
        <v>1</v>
      </c>
      <c r="N52" s="116" t="s">
        <v>27</v>
      </c>
      <c r="O52" s="116" t="s">
        <v>1148</v>
      </c>
      <c r="P52" s="79"/>
    </row>
    <row r="53" spans="1:16" s="7" customFormat="1" ht="24.75" customHeight="1" outlineLevel="1" x14ac:dyDescent="0.25">
      <c r="A53" s="135">
        <v>6</v>
      </c>
      <c r="B53" s="171" t="s">
        <v>2665</v>
      </c>
      <c r="C53" s="116" t="s">
        <v>31</v>
      </c>
      <c r="D53" s="170" t="s">
        <v>2697</v>
      </c>
      <c r="E53" s="136">
        <v>43313</v>
      </c>
      <c r="F53" s="136">
        <v>43434</v>
      </c>
      <c r="G53" s="151">
        <f t="shared" si="3"/>
        <v>4.0333333333333332</v>
      </c>
      <c r="H53" s="171" t="s">
        <v>2696</v>
      </c>
      <c r="I53" s="170" t="s">
        <v>453</v>
      </c>
      <c r="J53" s="170" t="s">
        <v>971</v>
      </c>
      <c r="K53" s="115">
        <v>277549128</v>
      </c>
      <c r="L53" s="116" t="s">
        <v>1148</v>
      </c>
      <c r="M53" s="111">
        <v>1</v>
      </c>
      <c r="N53" s="116" t="s">
        <v>27</v>
      </c>
      <c r="O53" s="116" t="s">
        <v>1148</v>
      </c>
      <c r="P53" s="79"/>
    </row>
    <row r="54" spans="1:16" s="7" customFormat="1" ht="24.75" customHeight="1" outlineLevel="1" x14ac:dyDescent="0.25">
      <c r="A54" s="135">
        <v>7</v>
      </c>
      <c r="B54" s="171" t="s">
        <v>2665</v>
      </c>
      <c r="C54" s="116" t="s">
        <v>31</v>
      </c>
      <c r="D54" s="170" t="s">
        <v>2698</v>
      </c>
      <c r="E54" s="136">
        <v>43497</v>
      </c>
      <c r="F54" s="136">
        <v>43822</v>
      </c>
      <c r="G54" s="151">
        <f t="shared" si="3"/>
        <v>10.833333333333334</v>
      </c>
      <c r="H54" s="171" t="s">
        <v>2699</v>
      </c>
      <c r="I54" s="170" t="s">
        <v>453</v>
      </c>
      <c r="J54" s="170" t="s">
        <v>973</v>
      </c>
      <c r="K54" s="112">
        <v>3523974901</v>
      </c>
      <c r="L54" s="116" t="s">
        <v>1148</v>
      </c>
      <c r="M54" s="111">
        <v>1</v>
      </c>
      <c r="N54" s="116" t="s">
        <v>27</v>
      </c>
      <c r="O54" s="116" t="s">
        <v>1148</v>
      </c>
      <c r="P54" s="79"/>
    </row>
    <row r="55" spans="1:16" s="7" customFormat="1" ht="24.75" customHeight="1" outlineLevel="1" x14ac:dyDescent="0.25">
      <c r="A55" s="135">
        <v>8</v>
      </c>
      <c r="B55" s="171" t="s">
        <v>2665</v>
      </c>
      <c r="C55" s="116" t="s">
        <v>31</v>
      </c>
      <c r="D55" s="170" t="s">
        <v>2698</v>
      </c>
      <c r="E55" s="136">
        <v>43497</v>
      </c>
      <c r="F55" s="136">
        <v>43822</v>
      </c>
      <c r="G55" s="151">
        <f t="shared" si="3"/>
        <v>10.833333333333334</v>
      </c>
      <c r="H55" s="171" t="s">
        <v>2699</v>
      </c>
      <c r="I55" s="170" t="s">
        <v>453</v>
      </c>
      <c r="J55" s="170" t="s">
        <v>971</v>
      </c>
      <c r="K55" s="112">
        <v>3523974901</v>
      </c>
      <c r="L55" s="116" t="s">
        <v>1148</v>
      </c>
      <c r="M55" s="111">
        <v>1</v>
      </c>
      <c r="N55" s="116" t="s">
        <v>27</v>
      </c>
      <c r="O55" s="116" t="s">
        <v>1148</v>
      </c>
      <c r="P55" s="79"/>
    </row>
    <row r="56" spans="1:16" s="7" customFormat="1" ht="24.75" customHeight="1" outlineLevel="1" x14ac:dyDescent="0.25">
      <c r="A56" s="135">
        <v>9</v>
      </c>
      <c r="B56" s="171"/>
      <c r="C56" s="116"/>
      <c r="D56" s="110"/>
      <c r="E56" s="136"/>
      <c r="F56" s="136"/>
      <c r="G56" s="151" t="str">
        <f t="shared" si="3"/>
        <v/>
      </c>
      <c r="H56" s="171"/>
      <c r="I56" s="170"/>
      <c r="J56" s="170"/>
      <c r="K56" s="112"/>
      <c r="L56" s="116"/>
      <c r="M56" s="111"/>
      <c r="N56" s="116"/>
      <c r="O56" s="116"/>
      <c r="P56" s="79"/>
    </row>
    <row r="57" spans="1:16" s="7" customFormat="1" ht="24.75" customHeight="1" outlineLevel="1" x14ac:dyDescent="0.25">
      <c r="A57" s="135">
        <v>10</v>
      </c>
      <c r="B57" s="171"/>
      <c r="C57" s="116"/>
      <c r="D57" s="170"/>
      <c r="E57" s="136"/>
      <c r="F57" s="136"/>
      <c r="G57" s="151" t="str">
        <f t="shared" si="3"/>
        <v/>
      </c>
      <c r="H57" s="171"/>
      <c r="I57" s="170"/>
      <c r="J57" s="170"/>
      <c r="K57" s="112"/>
      <c r="L57" s="116"/>
      <c r="M57" s="111"/>
      <c r="N57" s="116"/>
      <c r="O57" s="116"/>
      <c r="P57" s="79"/>
    </row>
    <row r="58" spans="1:16" s="7" customFormat="1" ht="24.75" customHeight="1" outlineLevel="1" x14ac:dyDescent="0.25">
      <c r="A58" s="135">
        <v>11</v>
      </c>
      <c r="B58" s="171"/>
      <c r="C58" s="116"/>
      <c r="D58" s="170"/>
      <c r="E58" s="136"/>
      <c r="F58" s="136"/>
      <c r="G58" s="151" t="str">
        <f t="shared" si="3"/>
        <v/>
      </c>
      <c r="H58" s="171"/>
      <c r="I58" s="170"/>
      <c r="J58" s="170"/>
      <c r="K58" s="112"/>
      <c r="L58" s="116"/>
      <c r="M58" s="111"/>
      <c r="N58" s="116"/>
      <c r="O58" s="116"/>
      <c r="P58" s="79"/>
    </row>
    <row r="59" spans="1:16" s="7" customFormat="1" ht="24.75" customHeight="1" outlineLevel="1" x14ac:dyDescent="0.25">
      <c r="A59" s="135">
        <v>12</v>
      </c>
      <c r="B59" s="171"/>
      <c r="C59" s="116"/>
      <c r="D59" s="63"/>
      <c r="E59" s="136"/>
      <c r="F59" s="136"/>
      <c r="G59" s="151" t="str">
        <f t="shared" si="3"/>
        <v/>
      </c>
      <c r="H59" s="171"/>
      <c r="I59" s="170"/>
      <c r="J59" s="63"/>
      <c r="K59" s="66"/>
      <c r="L59" s="116"/>
      <c r="M59" s="111"/>
      <c r="N59" s="65"/>
      <c r="O59" s="65"/>
      <c r="P59" s="79"/>
    </row>
    <row r="60" spans="1:16" s="7" customFormat="1" ht="24.75" customHeight="1" outlineLevel="1" x14ac:dyDescent="0.25">
      <c r="A60" s="135">
        <v>13</v>
      </c>
      <c r="B60" s="171"/>
      <c r="C60" s="116"/>
      <c r="D60" s="63"/>
      <c r="E60" s="136"/>
      <c r="F60" s="136"/>
      <c r="G60" s="151" t="str">
        <f t="shared" si="3"/>
        <v/>
      </c>
      <c r="H60" s="171"/>
      <c r="I60" s="63"/>
      <c r="J60" s="63"/>
      <c r="K60" s="66"/>
      <c r="L60" s="116"/>
      <c r="M60" s="111"/>
      <c r="N60" s="65"/>
      <c r="O60" s="65"/>
      <c r="P60" s="79"/>
    </row>
    <row r="61" spans="1:16" s="7" customFormat="1" ht="24.75" customHeight="1" outlineLevel="1" x14ac:dyDescent="0.25">
      <c r="A61" s="135">
        <v>14</v>
      </c>
      <c r="B61" s="171"/>
      <c r="C61" s="116"/>
      <c r="D61" s="63"/>
      <c r="E61" s="136"/>
      <c r="F61" s="136"/>
      <c r="G61" s="151" t="str">
        <f t="shared" si="3"/>
        <v/>
      </c>
      <c r="H61" s="171"/>
      <c r="I61" s="63"/>
      <c r="J61" s="63"/>
      <c r="K61" s="66"/>
      <c r="L61" s="116"/>
      <c r="M61" s="111"/>
      <c r="N61" s="65"/>
      <c r="O61" s="65"/>
      <c r="P61" s="79"/>
    </row>
    <row r="62" spans="1:16" s="7" customFormat="1" ht="24.75" customHeight="1" outlineLevel="1" x14ac:dyDescent="0.25">
      <c r="A62" s="135">
        <v>15</v>
      </c>
      <c r="B62" s="64"/>
      <c r="C62" s="65"/>
      <c r="D62" s="63"/>
      <c r="E62" s="136"/>
      <c r="F62" s="136"/>
      <c r="G62" s="151" t="str">
        <f t="shared" si="3"/>
        <v/>
      </c>
      <c r="H62" s="171"/>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171"/>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171"/>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68" t="s">
        <v>2682</v>
      </c>
      <c r="E114" s="169">
        <v>44172</v>
      </c>
      <c r="F114" s="169">
        <v>44773</v>
      </c>
      <c r="G114" s="151">
        <f>IF(AND(E114&lt;&gt;"",F114&lt;&gt;""),((F114-E114)/30),"")</f>
        <v>20.033333333333335</v>
      </c>
      <c r="H114" s="171" t="s">
        <v>2683</v>
      </c>
      <c r="I114" s="113" t="s">
        <v>208</v>
      </c>
      <c r="J114" s="113" t="s">
        <v>210</v>
      </c>
      <c r="K114" s="172">
        <v>4688873643</v>
      </c>
      <c r="L114" s="100">
        <f>+IF(AND(K114&gt;0,O114="Ejecución"),(K114/877802)*Tabla28[[#This Row],[% participación]],IF(AND(K114&gt;0,O114&lt;&gt;"Ejecución"),"-",""))</f>
        <v>5341.6073818469313</v>
      </c>
      <c r="M114" s="116" t="s">
        <v>1148</v>
      </c>
      <c r="N114" s="164">
        <f t="shared" ref="N114:N117" si="4">+IF(M114="No",1,IF(M114="Si","Ingrese %",""))</f>
        <v>1</v>
      </c>
      <c r="O114" s="153" t="s">
        <v>1150</v>
      </c>
      <c r="P114" s="78"/>
    </row>
    <row r="115" spans="1:16" s="6" customFormat="1" ht="24.75" customHeight="1" x14ac:dyDescent="0.25">
      <c r="A115" s="134">
        <v>2</v>
      </c>
      <c r="B115" s="152" t="s">
        <v>2665</v>
      </c>
      <c r="C115" s="154" t="s">
        <v>31</v>
      </c>
      <c r="D115" s="63" t="s">
        <v>2685</v>
      </c>
      <c r="E115" s="136">
        <v>44172</v>
      </c>
      <c r="F115" s="136">
        <v>44773</v>
      </c>
      <c r="G115" s="151">
        <f t="shared" ref="G115:G116" si="5">IF(AND(E115&lt;&gt;"",F115&lt;&gt;""),((F115-E115)/30),"")</f>
        <v>20.033333333333335</v>
      </c>
      <c r="H115" s="64" t="s">
        <v>2684</v>
      </c>
      <c r="I115" s="63" t="s">
        <v>208</v>
      </c>
      <c r="J115" s="63" t="s">
        <v>222</v>
      </c>
      <c r="K115" s="172">
        <v>5728990546</v>
      </c>
      <c r="L115" s="100">
        <f>+IF(AND(K115&gt;0,O115="Ejecución"),(K115/877802)*Tabla28[[#This Row],[% participación]],IF(AND(K115&gt;0,O115&lt;&gt;"Ejecución"),"-",""))</f>
        <v>6526.5179915288418</v>
      </c>
      <c r="M115" s="65" t="s">
        <v>1148</v>
      </c>
      <c r="N115" s="164">
        <f t="shared" si="4"/>
        <v>1</v>
      </c>
      <c r="O115" s="153" t="s">
        <v>1150</v>
      </c>
      <c r="P115" s="78"/>
    </row>
    <row r="116" spans="1:16" s="6" customFormat="1" ht="24.75" customHeight="1" x14ac:dyDescent="0.25">
      <c r="A116" s="134">
        <v>3</v>
      </c>
      <c r="B116" s="152" t="s">
        <v>2665</v>
      </c>
      <c r="C116" s="154" t="s">
        <v>31</v>
      </c>
      <c r="D116" s="170" t="s">
        <v>2686</v>
      </c>
      <c r="E116" s="136">
        <v>43885</v>
      </c>
      <c r="F116" s="136">
        <v>44196</v>
      </c>
      <c r="G116" s="151">
        <f t="shared" si="5"/>
        <v>10.366666666666667</v>
      </c>
      <c r="H116" s="171" t="s">
        <v>2687</v>
      </c>
      <c r="I116" s="63" t="s">
        <v>711</v>
      </c>
      <c r="J116" s="63" t="s">
        <v>717</v>
      </c>
      <c r="K116" s="172">
        <v>1859126940</v>
      </c>
      <c r="L116" s="100">
        <f>+IF(AND(K116&gt;0,O116="Ejecución"),(K116/877802)*Tabla28[[#This Row],[% participación]],IF(AND(K116&gt;0,O116&lt;&gt;"Ejecución"),"-",""))</f>
        <v>2117.9342721935013</v>
      </c>
      <c r="M116" s="65" t="s">
        <v>1148</v>
      </c>
      <c r="N116" s="164">
        <f t="shared" si="4"/>
        <v>1</v>
      </c>
      <c r="O116" s="153" t="s">
        <v>1150</v>
      </c>
      <c r="P116" s="78"/>
    </row>
    <row r="117" spans="1:16" s="6" customFormat="1" ht="24.75" customHeight="1" outlineLevel="1" x14ac:dyDescent="0.25">
      <c r="A117" s="134">
        <v>4</v>
      </c>
      <c r="B117" s="152" t="s">
        <v>2665</v>
      </c>
      <c r="C117" s="154" t="s">
        <v>31</v>
      </c>
      <c r="D117" s="170" t="s">
        <v>2688</v>
      </c>
      <c r="E117" s="136">
        <v>43892</v>
      </c>
      <c r="F117" s="136">
        <v>44196</v>
      </c>
      <c r="G117" s="151">
        <f t="shared" ref="G117:G159" si="6">IF(AND(E117&lt;&gt;"",F117&lt;&gt;""),((F117-E117)/30),"")</f>
        <v>10.133333333333333</v>
      </c>
      <c r="H117" s="171" t="s">
        <v>2689</v>
      </c>
      <c r="I117" s="63" t="s">
        <v>208</v>
      </c>
      <c r="J117" s="63" t="s">
        <v>241</v>
      </c>
      <c r="K117" s="172">
        <v>2045167157</v>
      </c>
      <c r="L117" s="100">
        <f>+IF(AND(K117&gt;0,O117="Ejecución"),(K117/877802)*Tabla28[[#This Row],[% participación]],IF(AND(K117&gt;0,O117&lt;&gt;"Ejecución"),"-",""))</f>
        <v>2329.8729747710759</v>
      </c>
      <c r="M117" s="65" t="s">
        <v>1148</v>
      </c>
      <c r="N117" s="164">
        <f t="shared" si="4"/>
        <v>1</v>
      </c>
      <c r="O117" s="153" t="s">
        <v>1150</v>
      </c>
      <c r="P117" s="78"/>
    </row>
    <row r="118" spans="1:16" s="7" customFormat="1" ht="24.75" customHeight="1" outlineLevel="1" x14ac:dyDescent="0.25">
      <c r="A118" s="135">
        <v>5</v>
      </c>
      <c r="B118" s="152" t="s">
        <v>2665</v>
      </c>
      <c r="C118" s="154" t="s">
        <v>31</v>
      </c>
      <c r="D118" s="170" t="s">
        <v>2690</v>
      </c>
      <c r="E118" s="136">
        <v>44046</v>
      </c>
      <c r="F118" s="136">
        <v>44196</v>
      </c>
      <c r="G118" s="151">
        <f t="shared" si="6"/>
        <v>5</v>
      </c>
      <c r="H118" s="171" t="s">
        <v>2691</v>
      </c>
      <c r="I118" s="63" t="s">
        <v>453</v>
      </c>
      <c r="J118" s="63" t="s">
        <v>975</v>
      </c>
      <c r="K118" s="172">
        <v>124400000</v>
      </c>
      <c r="L118" s="100">
        <f>+IF(AND(K118&gt;0,O118="Ejecución"),(K118/877802)*Tabla28[[#This Row],[% participación]],IF(AND(K118&gt;0,O118&lt;&gt;"Ejecución"),"-",""))</f>
        <v>141.71760829891022</v>
      </c>
      <c r="M118" s="65" t="s">
        <v>1148</v>
      </c>
      <c r="N118" s="164">
        <f t="shared" ref="N118:N160" si="7">+IF(M118="No",1,IF(M118="Si","Ingrese %",""))</f>
        <v>1</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1E-3</v>
      </c>
      <c r="G179" s="156">
        <f>IF(F179&gt;0,SUM(E179+F179),"")</f>
        <v>2.1000000000000001E-2</v>
      </c>
      <c r="H179" s="5"/>
      <c r="I179" s="187" t="s">
        <v>2671</v>
      </c>
      <c r="J179" s="187"/>
      <c r="K179" s="187"/>
      <c r="L179" s="187"/>
      <c r="M179" s="163">
        <v>0.02</v>
      </c>
      <c r="O179" s="8"/>
      <c r="Q179" s="19"/>
      <c r="R179" s="150">
        <f>IF(M179&gt;0,SUM(L179+M179),"")</f>
        <v>0.02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2.1000000000000001E-2</v>
      </c>
      <c r="D185" s="91" t="s">
        <v>2628</v>
      </c>
      <c r="E185" s="94">
        <f>+(C185*SUM(K20:K35))</f>
        <v>21191333.646000002</v>
      </c>
      <c r="F185" s="92"/>
      <c r="G185" s="93"/>
      <c r="H185" s="88"/>
      <c r="I185" s="90" t="s">
        <v>2627</v>
      </c>
      <c r="J185" s="157">
        <f>+SUM(M179:M183)</f>
        <v>0.02</v>
      </c>
      <c r="K185" s="232" t="s">
        <v>2628</v>
      </c>
      <c r="L185" s="232"/>
      <c r="M185" s="94">
        <f>+J185*(SUM(K20:K35))</f>
        <v>20182222.52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41974</v>
      </c>
      <c r="D193" s="5"/>
      <c r="E193" s="117">
        <v>1865</v>
      </c>
      <c r="F193" s="5"/>
      <c r="G193" s="5"/>
      <c r="H193" s="138" t="s">
        <v>2676</v>
      </c>
      <c r="J193" s="5"/>
      <c r="K193" s="118">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2678</v>
      </c>
      <c r="J211" s="27" t="s">
        <v>2622</v>
      </c>
      <c r="K211" s="139" t="s">
        <v>2680</v>
      </c>
      <c r="L211" s="21"/>
      <c r="M211" s="21"/>
      <c r="N211" s="21"/>
      <c r="O211" s="8"/>
    </row>
    <row r="212" spans="1:15" x14ac:dyDescent="0.25">
      <c r="A212" s="9"/>
      <c r="B212" s="27" t="s">
        <v>2619</v>
      </c>
      <c r="C212" s="138" t="s">
        <v>2677</v>
      </c>
      <c r="D212" s="21"/>
      <c r="G212" s="27" t="s">
        <v>2621</v>
      </c>
      <c r="H212" s="139" t="s">
        <v>2679</v>
      </c>
      <c r="J212" s="27" t="s">
        <v>2623</v>
      </c>
      <c r="K212" s="138"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2020-12-28T19:45:43Z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