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DOCUMENTOS PIEDRALIPE\DOCUMENTOS LEGALES\INVITACIONES 2020\BOLÍVAR\2021-13-20000027.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<sst xmlns="http://schemas.openxmlformats.org/spreadsheetml/2006/main" count="3118" uniqueCount="2698">
  <si>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</si>
  <si>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</si>
  <si>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</si>
  <si>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</si>
  <si>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</si>
  <si>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</si>
  <si>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</si>
  <si>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</si>
  <si>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</si>
  <si>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</si>
  <si>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</si>
  <si>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</si>
  <si>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</si>
  <si>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</si>
  <si>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</si>
  <si>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</si>
  <si>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</si>
  <si>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</si>
  <si>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</si>
  <si>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</si>
  <si>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</si>
  <si>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</si>
  <si>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</si>
  <si>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</si>
  <si>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</si>
  <si>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</si>
  <si>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</si>
  <si>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</si>
  <si>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</si>
  <si>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</si>
  <si>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</si>
  <si>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</si>
  <si>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</si>
  <si>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</si>
  <si>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</si>
  <si>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</si>
  <si>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</si>
  <si>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</si>
  <si>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</si>
  <si>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</si>
  <si>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</si>
  <si>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</si>
  <si>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</si>
  <si>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</si>
  <si>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</si>
  <si>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</si>
  <si>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</si>
  <si>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</si>
  <si>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</si>
  <si>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</si>
  <si>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</si>
  <si>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</si>
  <si>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</si>
  <si>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</si>
  <si>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</si>
  <si>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</si>
  <si>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</si>
  <si>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</si>
  <si>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</si>
  <si>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</si>
  <si>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</si>
  <si>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</si>
  <si>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</si>
  <si>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</si>
  <si>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</si>
  <si>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</si>
  <si>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</si>
  <si>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</si>
  <si>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</si>
  <si>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</si>
  <si>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</si>
  <si>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</si>
  <si>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</si>
  <si>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</si>
  <si>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</si>
  <si>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</si>
  <si>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</si>
  <si>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</si>
  <si>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</si>
  <si>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</si>
  <si>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</si>
  <si>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</si>
  <si>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</si>
  <si>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</si>
  <si>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</si>
  <si>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</si>
  <si>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</si>
  <si>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</si>
  <si>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</si>
  <si>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</si>
  <si>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</si>
  <si>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</si>
  <si>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</si>
  <si>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</si>
  <si>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</si>
  <si>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</si>
  <si>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</si>
  <si>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</si>
  <si>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</si>
  <si>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</si>
  <si>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</si>
  <si>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</si>
  <si>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</si>
  <si>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</si>
  <si>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</si>
  <si>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</si>
  <si>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</si>
  <si>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</si>
  <si>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</si>
  <si>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</si>
  <si>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</si>
  <si>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</si>
  <si>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</si>
  <si>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</si>
  <si>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</si>
  <si>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</si>
  <si>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</si>
  <si>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</si>
  <si>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</si>
  <si>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</si>
  <si>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</si>
  <si>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</si>
  <si>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</si>
  <si>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</si>
  <si>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</si>
  <si>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</si>
  <si>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</si>
  <si>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</si>
  <si>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</si>
  <si>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</si>
  <si>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</si>
  <si>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</si>
  <si>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</si>
  <si>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</si>
  <si>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</si>
  <si>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</si>
  <si>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</si>
  <si>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</si>
  <si>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</si>
  <si>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</si>
  <si>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</si>
  <si>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</si>
  <si>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</si>
  <si>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</si>
  <si>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</si>
  <si>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</si>
  <si>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</si>
  <si>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</si>
  <si>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</si>
  <si>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</si>
  <si>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</si>
  <si>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</si>
  <si>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</si>
  <si>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</si>
  <si>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</si>
  <si>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</si>
  <si>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</si>
  <si>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</si>
  <si>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</si>
  <si>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</si>
  <si>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</si>
  <si>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</si>
  <si>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</si>
  <si>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</si>
  <si>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</si>
  <si>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</si>
  <si>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</si>
  <si>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</si>
  <si>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</si>
  <si>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</si>
  <si>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</si>
  <si>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</si>
  <si>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</si>
  <si>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</si>
  <si>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</si>
  <si>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</si>
  <si>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</si>
  <si>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</si>
  <si>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</si>
  <si>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</si>
  <si>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</si>
  <si>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</si>
  <si>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</si>
  <si>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</si>
  <si>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</si>
  <si>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</si>
  <si>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</si>
  <si>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</si>
  <si>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</si>
  <si>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</si>
  <si>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</si>
  <si>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</si>
  <si>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</si>
  <si>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</si>
  <si>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</si>
  <si>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</si>
  <si>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</si>
  <si>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</si>
  <si>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</si>
  <si>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</si>
  <si>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</si>
  <si>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</si>
  <si>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</si>
  <si>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</si>
  <si>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</si>
  <si>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</si>
  <si>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</si>
  <si>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</si>
  <si>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</si>
  <si>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</si>
  <si>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</si>
  <si>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</si>
  <si>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</si>
  <si>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</si>
  <si>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</si>
  <si>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</si>
  <si>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</si>
  <si>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</si>
  <si>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</si>
  <si>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</si>
  <si>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</si>
  <si>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</si>
  <si>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</si>
  <si>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</si>
  <si>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</si>
  <si>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</si>
  <si>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</si>
  <si>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</si>
  <si>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</si>
  <si>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</si>
  <si>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</si>
  <si>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</si>
  <si>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</si>
  <si>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</si>
  <si>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</si>
  <si>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</si>
  <si>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</si>
  <si>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</si>
  <si>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</si>
  <si>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</si>
  <si>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</si>
  <si>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</si>
  <si>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</si>
  <si>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</si>
  <si>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</si>
  <si>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</si>
  <si>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</si>
  <si>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</si>
  <si>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</si>
  <si>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</si>
  <si>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</si>
  <si>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</si>
  <si>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</si>
  <si>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</si>
  <si>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</si>
  <si>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</si>
  <si>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</si>
  <si>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</si>
  <si>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</si>
  <si>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</si>
  <si>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</si>
  <si>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</si>
  <si>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</si>
  <si>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</si>
  <si>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</si>
  <si>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</si>
  <si>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</si>
  <si>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</si>
  <si>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</si>
  <si>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</si>
  <si>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</si>
  <si>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</si>
  <si>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</si>
  <si>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</si>
  <si>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</si>
  <si>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</si>
  <si>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</si>
  <si>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</si>
  <si>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</si>
  <si>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</si>
  <si>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</si>
  <si>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</si>
  <si>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</si>
  <si>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</si>
  <si>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</si>
  <si>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</si>
  <si>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</si>
  <si>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</si>
  <si>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</si>
  <si>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</si>
  <si>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</si>
  <si>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</si>
  <si>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</si>
  <si>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</si>
  <si>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</si>
  <si>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</si>
  <si>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</si>
  <si>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</si>
  <si>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</si>
  <si>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</si>
  <si>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</si>
  <si>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</si>
  <si>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</si>
  <si>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</si>
  <si>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</si>
  <si>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</si>
  <si>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</si>
  <si>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</si>
  <si>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</si>
  <si>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</si>
  <si>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</si>
  <si>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</si>
  <si>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</si>
  <si>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</si>
  <si>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</si>
  <si>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</si>
  <si>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</si>
  <si>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</si>
  <si>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</si>
  <si>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</si>
  <si>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</si>
  <si>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</si>
  <si>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</si>
  <si>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</si>
  <si>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</si>
  <si>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</si>
  <si>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</si>
  <si>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</si>
  <si>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</si>
  <si>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</si>
  <si>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</si>
  <si>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</si>
  <si>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</si>
  <si>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</si>
  <si>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</si>
  <si>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</si>
  <si>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</si>
  <si>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</si>
  <si>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</si>
  <si>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</si>
  <si>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</si>
  <si>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</si>
  <si>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</si>
  <si>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</si>
  <si>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</si>
  <si>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</si>
  <si>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</si>
  <si>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</si>
  <si>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</si>
  <si>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</si>
  <si>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</si>
  <si>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</si>
  <si>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</si>
  <si>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</si>
  <si>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</si>
  <si>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</si>
  <si>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</si>
  <si>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</si>
  <si>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</si>
  <si>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</si>
  <si>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</si>
  <si>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</si>
  <si>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</si>
  <si>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</si>
  <si>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</si>
  <si>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</si>
  <si>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</si>
  <si>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</si>
  <si>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</si>
  <si>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</si>
  <si>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</si>
  <si>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</si>
  <si>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</si>
  <si>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</si>
  <si>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</si>
  <si>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</si>
  <si>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</si>
  <si>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</si>
  <si>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</si>
  <si>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</si>
  <si>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</si>
  <si>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</si>
  <si>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</si>
  <si>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</si>
  <si>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</si>
  <si>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</si>
  <si>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</si>
  <si>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</si>
  <si>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</si>
  <si>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</si>
  <si>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</si>
  <si>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</si>
  <si>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</si>
  <si>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</si>
  <si>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</si>
  <si>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</si>
  <si>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</si>
  <si>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</si>
  <si>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</si>
  <si>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</si>
  <si>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</si>
  <si>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</si>
  <si>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</si>
  <si>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</si>
  <si>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</si>
  <si>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</si>
  <si>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</si>
  <si>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</si>
  <si>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</si>
  <si>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</si>
  <si>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</si>
  <si>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</si>
  <si>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</si>
  <si>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</si>
  <si>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</si>
  <si>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</si>
  <si>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</si>
  <si>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</si>
  <si>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</si>
  <si>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</si>
  <si>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</si>
  <si>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</si>
  <si>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</si>
  <si>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</si>
  <si>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</si>
  <si>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</si>
  <si>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</si>
  <si>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</si>
  <si>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</si>
  <si>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</si>
  <si>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</si>
  <si>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</si>
  <si>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</si>
  <si>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</si>
  <si>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</si>
  <si>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</si>
  <si>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</si>
  <si>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</si>
  <si>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</si>
  <si>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</si>
  <si>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</si>
  <si>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</si>
  <si>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</si>
  <si>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</si>
  <si>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</si>
  <si>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</si>
  <si>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</si>
  <si>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</si>
  <si>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</si>
  <si>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</si>
  <si>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</si>
  <si>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</si>
  <si>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</si>
  <si>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</si>
  <si>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</si>
  <si>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</si>
  <si>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</si>
  <si>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</si>
  <si>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</si>
  <si>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</si>
  <si>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</si>
  <si>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</si>
  <si>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</si>
  <si>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</si>
  <si>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</si>
  <si>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</si>
  <si>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</si>
  <si>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</si>
  <si>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</si>
  <si>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</si>
  <si>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</si>
  <si>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</si>
  <si>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</si>
  <si>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</si>
  <si>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</si>
  <si>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</si>
  <si>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</si>
  <si>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</si>
  <si>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</si>
  <si>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</si>
  <si>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</si>
  <si>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</si>
  <si>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</si>
  <si>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</si>
  <si>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</si>
  <si>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</si>
  <si>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</si>
  <si>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</si>
  <si>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</si>
  <si>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</si>
  <si>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</si>
  <si>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</si>
  <si>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</si>
  <si>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</si>
  <si>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</si>
  <si>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</si>
  <si>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</si>
  <si>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</si>
  <si>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</si>
  <si>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</si>
  <si>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</si>
  <si>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</si>
  <si>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</si>
  <si>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</si>
  <si>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</si>
  <si>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</si>
  <si>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</si>
  <si>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</si>
  <si>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</si>
  <si>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</si>
  <si>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</si>
  <si>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</si>
  <si>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</si>
  <si>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</si>
  <si>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</si>
  <si>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</si>
  <si>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</si>
  <si>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</si>
  <si>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</si>
  <si>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</si>
  <si>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</si>
  <si>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</si>
  <si>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</si>
  <si>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</si>
  <si>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</si>
  <si>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</si>
  <si>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</si>
  <si>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</si>
  <si>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</si>
  <si>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</si>
  <si>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</si>
  <si>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</si>
  <si>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</si>
  <si>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</si>
  <si>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</si>
  <si>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</si>
  <si>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</si>
  <si>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</si>
  <si>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</si>
  <si>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</si>
  <si>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</si>
  <si>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</si>
  <si>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</si>
  <si>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</si>
  <si>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</si>
  <si>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</si>
  <si>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</si>
  <si>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</si>
  <si>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</si>
  <si>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</si>
  <si>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</si>
  <si>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</si>
  <si>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</si>
  <si>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</si>
  <si>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</si>
  <si>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</si>
  <si>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</si>
  <si>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</si>
  <si>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</si>
  <si>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</si>
  <si>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</si>
  <si>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</si>
  <si>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</si>
  <si>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</si>
  <si>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</si>
  <si>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</si>
  <si>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</si>
  <si>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</si>
  <si>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</si>
  <si>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</si>
  <si>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</si>
  <si>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</si>
  <si>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</si>
  <si>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</si>
  <si>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</si>
  <si>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</si>
  <si>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</si>
  <si>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</si>
  <si>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</si>
  <si>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</si>
  <si>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</si>
  <si>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</si>
  <si>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</si>
  <si>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</si>
  <si>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</si>
  <si>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</si>
  <si>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</si>
  <si>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</si>
  <si>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</si>
  <si>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</si>
  <si>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</si>
  <si>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</si>
  <si>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</si>
  <si>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</si>
  <si>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</si>
  <si>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</si>
  <si>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</si>
  <si>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</si>
  <si>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</si>
  <si>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</si>
  <si>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</si>
  <si>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</si>
  <si>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</si>
  <si>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</si>
  <si>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</si>
  <si>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</si>
  <si>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</si>
  <si>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</si>
  <si>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</si>
  <si>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</si>
  <si>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</si>
  <si>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</si>
  <si>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</si>
  <si>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</si>
  <si>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</si>
  <si>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</si>
  <si>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</si>
  <si>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</si>
  <si>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</si>
  <si>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</si>
  <si>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</si>
  <si>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</si>
  <si>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</si>
  <si>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</si>
  <si>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</si>
  <si>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</si>
  <si>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</si>
  <si>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</si>
  <si>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</si>
  <si>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</si>
  <si>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</si>
  <si>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</si>
  <si>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</si>
  <si>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</si>
  <si>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</si>
  <si>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</si>
  <si>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</si>
  <si>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</si>
  <si>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</si>
  <si>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</si>
  <si>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</si>
  <si>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</si>
  <si>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</si>
  <si>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</si>
  <si>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</si>
  <si>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</si>
  <si>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</si>
  <si>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</si>
  <si>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</si>
  <si>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</si>
  <si>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</si>
  <si>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</si>
  <si>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</si>
  <si>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</si>
  <si>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</si>
  <si>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</si>
  <si>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</si>
  <si>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</si>
  <si>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</si>
  <si>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</si>
  <si>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</si>
  <si>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</si>
  <si>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</si>
  <si>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</si>
  <si>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</si>
  <si>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</si>
  <si>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</si>
  <si>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</si>
  <si>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</si>
  <si>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</si>
  <si>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</si>
  <si>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</si>
  <si>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</si>
  <si>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</si>
  <si>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</si>
  <si>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</si>
  <si>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</si>
  <si>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</si>
  <si>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</si>
  <si>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</si>
  <si>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</si>
  <si>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</si>
  <si>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</si>
  <si>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</si>
  <si>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</si>
  <si>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</si>
  <si>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</si>
  <si>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</si>
  <si>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</si>
  <si>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</si>
  <si>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</si>
  <si>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</si>
  <si>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</si>
  <si>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</si>
  <si>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</si>
  <si>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</si>
  <si>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</si>
  <si>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</si>
  <si>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</si>
  <si>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</si>
  <si>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</si>
  <si>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</si>
  <si>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</si>
  <si>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</si>
  <si>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</si>
  <si>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</si>
  <si>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</si>
  <si>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</si>
  <si>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</si>
  <si>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</si>
  <si>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</si>
  <si>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</si>
  <si>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</si>
  <si>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</si>
  <si>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</si>
  <si>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</si>
  <si>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</si>
  <si>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</si>
  <si>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</si>
  <si>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</si>
  <si>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</si>
  <si>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</si>
  <si>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</si>
  <si>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</si>
  <si>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</si>
  <si>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</si>
  <si>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</si>
  <si>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</si>
  <si>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</si>
  <si>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</si>
  <si>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</si>
  <si>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</si>
  <si>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</si>
  <si>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</si>
  <si>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</si>
  <si>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</si>
  <si>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</si>
  <si>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</si>
  <si>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</si>
  <si>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</si>
  <si>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</si>
  <si>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</si>
  <si>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</si>
  <si>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</si>
  <si>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</si>
  <si>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</si>
  <si>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</si>
  <si>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</si>
  <si>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</si>
  <si>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</si>
  <si>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</si>
  <si>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</si>
  <si>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</si>
  <si>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</si>
  <si>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</si>
  <si>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</si>
  <si>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</si>
  <si>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</si>
  <si>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</si>
  <si>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</si>
  <si>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</si>
  <si>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</si>
  <si>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</si>
  <si>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</si>
  <si>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</si>
  <si>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</si>
  <si>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</si>
  <si>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</si>
  <si>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</si>
  <si>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</si>
  <si>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</si>
  <si>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</si>
  <si>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</si>
  <si>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</si>
  <si>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</si>
  <si>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</si>
  <si>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</si>
  <si>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</si>
  <si>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</si>
  <si>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</si>
  <si>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</si>
  <si>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</si>
  <si>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</si>
  <si>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</si>
  <si>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</si>
  <si>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</si>
  <si>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</si>
  <si>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</si>
  <si>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</si>
  <si>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</si>
  <si>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</si>
  <si>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</si>
  <si>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</si>
  <si>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</si>
  <si>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</si>
  <si>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</si>
  <si>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</si>
  <si>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</si>
  <si>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</si>
  <si>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</si>
  <si>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</si>
  <si>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</si>
  <si>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</si>
  <si>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</si>
  <si>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</si>
  <si>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</si>
  <si>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</si>
  <si>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</si>
  <si>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</si>
  <si>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</si>
  <si>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</si>
  <si>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</si>
  <si>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</si>
  <si>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</si>
  <si>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</si>
  <si>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</si>
  <si>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</si>
  <si>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</si>
  <si>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</si>
  <si>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</si>
  <si>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</si>
  <si>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</si>
  <si>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</si>
  <si>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</si>
  <si>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</si>
  <si>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</si>
  <si>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</si>
  <si>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</si>
  <si>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</si>
  <si>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</si>
  <si>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</si>
  <si>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</si>
  <si>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</si>
  <si>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</si>
  <si>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</si>
  <si>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</si>
  <si>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</si>
  <si>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</si>
  <si>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</si>
  <si>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</si>
  <si>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</si>
  <si>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</si>
  <si>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</si>
  <si>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</si>
  <si>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</si>
  <si>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</si>
  <si>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</si>
  <si>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</si>
  <si>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</si>
  <si>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</si>
  <si>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</si>
  <si>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</si>
  <si>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</si>
  <si>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</si>
  <si>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</si>
  <si>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</si>
  <si>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</si>
  <si>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</si>
  <si>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</si>
  <si>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</si>
  <si>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</si>
  <si>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</si>
  <si>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</si>
  <si>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</si>
  <si>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</si>
  <si>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</si>
  <si>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</si>
  <si>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</si>
  <si>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</si>
  <si>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</si>
  <si>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</si>
  <si>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</si>
  <si>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</si>
  <si>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</si>
  <si>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</si>
  <si>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</si>
  <si>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</si>
  <si>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</si>
  <si>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</si>
  <si>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</si>
  <si>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</si>
  <si>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</si>
  <si>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</si>
  <si>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</si>
  <si>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</si>
  <si>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</si>
  <si>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</si>
  <si>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</si>
  <si>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</si>
  <si>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</si>
  <si>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</si>
  <si>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</si>
  <si>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</si>
  <si>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</si>
  <si>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</si>
  <si>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</si>
  <si>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</si>
  <si>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</si>
  <si>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</si>
  <si>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</si>
  <si>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</si>
  <si>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</si>
  <si>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</si>
  <si>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</si>
  <si>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</si>
  <si>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</si>
  <si>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</si>
  <si>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</si>
  <si>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</si>
  <si>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</si>
  <si>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</si>
  <si>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</si>
  <si>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</si>
  <si>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</si>
  <si>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</si>
  <si>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</si>
  <si>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</si>
  <si>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</si>
  <si>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</si>
  <si>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</si>
  <si>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</si>
  <si>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</si>
  <si>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</si>
  <si>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</si>
  <si>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</si>
  <si>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</si>
  <si>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</si>
  <si>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</si>
  <si>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</si>
  <si>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</si>
  <si>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</si>
  <si>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</si>
  <si>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</si>
  <si>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</si>
  <si>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</si>
  <si>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</si>
  <si>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</si>
  <si>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</si>
  <si>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</si>
  <si>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</si>
  <si>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</si>
  <si>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</si>
  <si>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</si>
  <si>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</si>
  <si>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</si>
  <si>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</si>
  <si>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</si>
  <si>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</si>
  <si>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</si>
  <si>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</si>
  <si>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</si>
  <si>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</si>
  <si>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</si>
  <si>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</si>
  <si>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</si>
  <si>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</si>
  <si>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</si>
  <si>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</si>
  <si>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</si>
  <si>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</si>
  <si>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</si>
  <si>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</si>
  <si>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</si>
  <si>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</si>
  <si>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</si>
  <si>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</si>
  <si>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</si>
  <si>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</si>
  <si>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</si>
  <si>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</si>
  <si>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</si>
  <si>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</si>
  <si>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</si>
  <si>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</si>
  <si>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</si>
  <si>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</si>
  <si>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</si>
  <si>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</si>
  <si>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</si>
  <si>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</si>
  <si>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</si>
  <si>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</si>
  <si>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</si>
  <si>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</si>
  <si>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</si>
  <si>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</si>
  <si>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</si>
  <si>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</si>
  <si>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</si>
  <si>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</si>
  <si>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</si>
  <si>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</si>
  <si>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</si>
  <si>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</si>
  <si>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</si>
  <si>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</si>
  <si>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</si>
  <si>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</si>
  <si>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</si>
  <si>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</si>
  <si>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</si>
  <si>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</si>
  <si>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</si>
  <si>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</si>
  <si>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</si>
  <si>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</si>
  <si>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</si>
  <si>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</si>
  <si>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</si>
  <si>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</si>
  <si>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</si>
  <si>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</si>
  <si>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</si>
  <si>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</si>
  <si>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</si>
  <si>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</si>
  <si>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</si>
  <si>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</si>
  <si>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</si>
  <si>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</si>
  <si>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</si>
  <si>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</si>
  <si>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</si>
  <si>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</si>
  <si>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</si>
  <si>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</si>
  <si>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</si>
  <si>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</si>
  <si>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</si>
  <si>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</si>
  <si>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</si>
  <si>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</si>
  <si>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</si>
  <si>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</si>
  <si>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</si>
  <si>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</si>
  <si>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</si>
  <si>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</si>
  <si>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</si>
  <si>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</si>
  <si>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</si>
  <si>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</si>
  <si>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</si>
  <si>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</si>
  <si>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</si>
  <si>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</si>
  <si>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</si>
  <si>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</si>
  <si>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</si>
  <si>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</si>
  <si>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</si>
  <si>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</si>
  <si>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</si>
  <si>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</si>
  <si>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</si>
  <si>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</si>
  <si>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</si>
  <si>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</si>
  <si>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</si>
  <si>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</si>
  <si>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</si>
  <si>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</si>
  <si>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</si>
  <si>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</si>
  <si>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</si>
  <si>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</si>
  <si>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</si>
  <si>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</si>
  <si>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</si>
  <si>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</si>
  <si>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</si>
  <si>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</si>
  <si>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</si>
  <si>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</si>
  <si>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</si>
  <si>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</si>
  <si>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</si>
  <si>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</si>
  <si>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</si>
  <si>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</si>
  <si>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</si>
  <si>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</si>
  <si>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</si>
  <si>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</si>
  <si>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</si>
  <si>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</si>
  <si>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</si>
  <si>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</si>
  <si>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</si>
  <si>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</si>
  <si>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</si>
  <si>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</si>
  <si>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</si>
  <si>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</si>
  <si>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</si>
  <si>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</si>
  <si>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</si>
  <si>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</si>
  <si>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</si>
  <si>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</si>
  <si>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</si>
  <si>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</si>
  <si>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</si>
  <si>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</si>
  <si>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</si>
  <si>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</si>
  <si>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</si>
  <si>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</si>
  <si>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</si>
  <si>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</si>
  <si>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</si>
  <si>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</si>
  <si>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</si>
  <si>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</si>
  <si>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</si>
  <si>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</si>
  <si>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</si>
  <si>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</si>
  <si>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</si>
  <si>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</si>
  <si>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</si>
  <si>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</si>
  <si>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</si>
  <si>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</si>
  <si>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</si>
  <si>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</si>
  <si>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</si>
  <si>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</si>
  <si>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</si>
  <si>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</si>
  <si>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</si>
  <si>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</si>
  <si>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</si>
  <si>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</si>
  <si>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</si>
  <si>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</si>
  <si>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</si>
  <si>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</si>
  <si>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</si>
  <si>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</si>
  <si>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</si>
  <si>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</si>
  <si>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</si>
  <si>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</si>
  <si>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</si>
  <si>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</si>
  <si>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</si>
  <si>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</si>
  <si>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</si>
  <si>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</si>
  <si>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</si>
  <si>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</si>
  <si>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</si>
  <si>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</si>
  <si>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</si>
  <si>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</si>
  <si>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</si>
  <si>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</si>
  <si>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</si>
  <si>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</si>
  <si>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</si>
  <si>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</si>
  <si>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</si>
  <si>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</si>
  <si>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</si>
  <si>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</si>
  <si>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</si>
  <si>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</si>
  <si>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</si>
  <si>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</si>
  <si>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</si>
  <si>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</si>
  <si>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</si>
  <si>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</si>
  <si>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</si>
  <si>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</si>
  <si>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</si>
  <si>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</si>
  <si>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</si>
  <si>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</si>
  <si>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</si>
  <si>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</si>
  <si>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</si>
  <si>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</si>
  <si>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</si>
  <si>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</si>
  <si>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</si>
  <si>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</si>
  <si>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</si>
  <si>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</si>
  <si>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</si>
  <si>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</si>
  <si>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</si>
  <si>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</si>
  <si>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</si>
  <si>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</si>
  <si>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</si>
  <si>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</si>
  <si>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</si>
  <si>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</si>
  <si>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</si>
  <si>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</si>
  <si>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</si>
  <si>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</si>
  <si>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</si>
  <si>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</si>
  <si>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</si>
  <si>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</si>
  <si>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</si>
  <si>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</si>
  <si>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</si>
  <si>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</si>
  <si>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</si>
  <si>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</si>
  <si>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</si>
  <si>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</si>
  <si>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</si>
  <si>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</si>
  <si>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</si>
  <si>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</si>
  <si>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</si>
  <si>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</si>
  <si>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</si>
  <si>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</si>
  <si>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</si>
  <si>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</si>
  <si>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</si>
  <si>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</si>
  <si>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</si>
  <si>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</si>
  <si>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</si>
  <si>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</si>
  <si>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</si>
  <si>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</si>
  <si>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</si>
  <si>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</si>
  <si>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</si>
  <si>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</si>
  <si>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</si>
  <si>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</si>
  <si>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</si>
  <si>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</si>
  <si>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</si>
  <si>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</si>
  <si>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</si>
  <si>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</si>
  <si>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</si>
  <si>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</si>
  <si>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</si>
  <si>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</si>
  <si>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</si>
  <si>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</si>
  <si>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</si>
  <si>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</si>
  <si>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</si>
  <si>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</si>
  <si>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</si>
  <si>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</si>
  <si>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</si>
  <si>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</si>
  <si>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</si>
  <si>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</si>
  <si>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</si>
  <si>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</si>
  <si>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</si>
  <si>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</si>
  <si>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</si>
  <si>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</si>
  <si>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</si>
  <si>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</si>
  <si>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</si>
  <si>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</si>
  <si>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</si>
  <si>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</si>
  <si>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</si>
  <si>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</si>
  <si>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</si>
  <si>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</si>
  <si>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</si>
  <si>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</si>
  <si>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</si>
  <si>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</si>
  <si>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</si>
  <si>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</si>
  <si>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</si>
  <si>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</si>
  <si>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</si>
  <si>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</si>
  <si>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</si>
  <si>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</si>
  <si>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</si>
  <si>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</si>
  <si>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</si>
  <si>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</si>
  <si>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</si>
  <si>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</si>
  <si>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</si>
  <si>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</si>
  <si>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</si>
  <si>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</si>
  <si>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</si>
  <si>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</si>
  <si>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</si>
  <si>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</si>
  <si>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</si>
  <si>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</si>
  <si>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</si>
  <si>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</si>
  <si>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</si>
  <si>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</si>
  <si>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</si>
  <si>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</si>
  <si>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</si>
  <si>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</si>
  <si>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</si>
  <si>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</si>
  <si>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</si>
  <si>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</si>
  <si>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</si>
  <si>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</si>
  <si>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</si>
  <si>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</si>
  <si>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</si>
  <si>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</si>
  <si>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</si>
  <si>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</si>
  <si>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</si>
  <si>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</si>
  <si>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</si>
  <si>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</si>
  <si>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</si>
  <si>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</si>
  <si>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</si>
  <si>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</si>
  <si>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</si>
  <si>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</si>
  <si>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</si>
  <si>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</si>
  <si>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</si>
  <si>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</si>
  <si>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</si>
  <si>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</si>
  <si>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</si>
  <si>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</si>
  <si>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</si>
  <si>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</si>
  <si>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</si>
  <si>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</si>
  <si>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</si>
  <si>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</si>
  <si>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</si>
  <si>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</si>
  <si>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</si>
  <si>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</si>
  <si>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</si>
  <si>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</si>
  <si>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</si>
  <si>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</si>
  <si>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</si>
  <si>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</si>
  <si>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</si>
  <si>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</si>
  <si>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</si>
  <si>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</si>
  <si>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</si>
  <si>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</si>
  <si>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</si>
  <si>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</si>
  <si>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</si>
  <si>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</si>
  <si>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</si>
  <si>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</si>
  <si>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</si>
  <si>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</si>
  <si>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</si>
  <si>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</si>
  <si>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</si>
  <si>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</si>
  <si>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</si>
  <si>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</si>
  <si>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</si>
  <si>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</si>
  <si>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</si>
  <si>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</si>
  <si>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</si>
  <si>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</si>
  <si>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</si>
  <si>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</si>
  <si>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</si>
  <si>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</si>
  <si>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</si>
  <si>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</si>
  <si>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</si>
  <si>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</si>
  <si>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</si>
  <si>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</si>
  <si>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</si>
  <si>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</si>
  <si>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</si>
  <si>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</si>
  <si>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</si>
  <si>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</si>
  <si>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</si>
  <si>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</si>
  <si>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</si>
  <si>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</si>
  <si>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</si>
  <si>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</si>
  <si>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</si>
  <si>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</si>
  <si>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</si>
  <si>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</si>
  <si>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</si>
  <si>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</si>
  <si>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</si>
  <si>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</si>
  <si>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</si>
  <si>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</si>
  <si>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</si>
  <si>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</si>
  <si>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</si>
  <si>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</si>
  <si>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</si>
  <si>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</si>
  <si>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</si>
  <si>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</si>
  <si>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</si>
  <si>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</si>
  <si>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</si>
  <si>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</si>
  <si>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</si>
  <si>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</si>
  <si>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</si>
  <si>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</si>
  <si>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</si>
  <si>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</si>
  <si>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</si>
  <si>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</si>
  <si>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</si>
  <si>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</si>
  <si>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</si>
  <si>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</si>
  <si>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</si>
  <si>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</si>
  <si>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</si>
  <si>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</si>
  <si>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</si>
  <si>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</si>
  <si>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</si>
  <si>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</si>
  <si>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</si>
  <si>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</si>
  <si>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</si>
  <si>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</si>
  <si>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</si>
  <si>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</si>
  <si>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</si>
  <si>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</si>
  <si>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</si>
  <si>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</si>
  <si>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</si>
  <si>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</si>
  <si>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</si>
  <si>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</si>
  <si>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</si>
  <si>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</si>
  <si>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</si>
  <si>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</si>
  <si>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</si>
  <si>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</si>
  <si>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</si>
  <si>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</si>
  <si>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</si>
  <si>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</si>
  <si>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</si>
  <si>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</si>
  <si>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</si>
  <si>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</si>
  <si>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</si>
  <si>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</si>
  <si>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</si>
  <si>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</si>
  <si>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</si>
  <si>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</si>
  <si>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</si>
  <si>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</si>
  <si>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</si>
  <si>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</si>
  <si>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</si>
  <si>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</si>
  <si>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</si>
  <si>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</si>
  <si>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</si>
  <si>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</si>
  <si>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</si>
  <si>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</si>
  <si>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</si>
  <si>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</si>
  <si>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</si>
  <si>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</si>
  <si>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</si>
  <si>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</si>
  <si>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</si>
  <si>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</si>
  <si>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</si>
  <si>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</si>
  <si>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</si>
  <si>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</si>
  <si>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</si>
  <si>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</si>
  <si>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</si>
  <si>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</si>
  <si>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</si>
  <si>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</si>
  <si>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</si>
  <si>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</si>
  <si>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</si>
  <si>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</si>
  <si>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</si>
  <si>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</si>
  <si>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</si>
  <si>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</si>
  <si>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</si>
  <si>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</si>
  <si>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</si>
  <si>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</si>
  <si>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</si>
  <si>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</si>
  <si>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</si>
  <si>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</si>
  <si>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</si>
  <si>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</si>
  <si>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</si>
  <si>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</si>
  <si>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</si>
  <si>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</si>
  <si>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</si>
  <si>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</si>
  <si>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</si>
  <si>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</si>
  <si>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</si>
  <si>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</si>
  <si>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</si>
  <si>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</si>
  <si>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</si>
  <si>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</si>
  <si>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</si>
  <si>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</si>
  <si>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</si>
  <si>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</si>
  <si>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</si>
  <si>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</si>
  <si>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</si>
  <si>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</si>
  <si>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</si>
  <si>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</si>
  <si>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</si>
  <si>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</si>
  <si>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</si>
  <si>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</si>
  <si>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</si>
  <si>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</si>
  <si>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</si>
  <si>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</si>
  <si>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</si>
  <si>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</si>
  <si>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</si>
  <si>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</si>
  <si>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</si>
  <si>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</si>
  <si>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</si>
  <si>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</si>
  <si>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</si>
  <si>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</si>
  <si>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</si>
  <si>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</si>
  <si>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</si>
  <si>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</si>
  <si>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</si>
  <si>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</si>
  <si>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</si>
  <si>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</si>
  <si>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</si>
  <si>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</si>
  <si>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</si>
  <si>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</si>
  <si>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</si>
  <si>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</si>
  <si>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</si>
  <si>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</si>
  <si>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</si>
  <si>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</si>
  <si>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</si>
  <si>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</si>
  <si>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</si>
  <si>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</si>
  <si>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</si>
  <si>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</si>
  <si>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</si>
  <si>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</si>
  <si>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</si>
  <si>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</si>
  <si>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</si>
  <si>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</si>
  <si>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</si>
  <si>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</si>
  <si>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</si>
  <si>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</si>
  <si>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</si>
  <si>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</si>
  <si>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</si>
  <si>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</si>
  <si>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</si>
  <si>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</si>
  <si>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</si>
  <si>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</si>
  <si>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</si>
  <si>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</si>
  <si>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</si>
  <si>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</si>
  <si>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</si>
  <si>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</si>
  <si>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</si>
  <si>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</si>
  <si>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</si>
  <si>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</si>
  <si>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</si>
  <si>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</si>
  <si>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</si>
  <si>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</si>
  <si>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</si>
  <si>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</si>
  <si>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</si>
  <si>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</si>
  <si>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</si>
  <si>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</si>
  <si>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</si>
  <si>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</si>
  <si>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</si>
  <si>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</si>
  <si>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</si>
  <si>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</si>
  <si>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</si>
  <si>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</si>
  <si>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</si>
  <si>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</si>
  <si>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</si>
  <si>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</si>
  <si>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</si>
  <si>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</si>
  <si>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</si>
  <si>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</si>
  <si>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</si>
  <si>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</si>
  <si>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</si>
  <si>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</si>
  <si>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</si>
  <si>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</si>
  <si>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</si>
  <si>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</si>
  <si>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</si>
  <si>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</si>
  <si>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</si>
  <si>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</si>
  <si>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</si>
  <si>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</si>
  <si>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</si>
  <si>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</si>
  <si>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</si>
  <si>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</si>
  <si>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</si>
  <si>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</si>
  <si>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</si>
  <si>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</si>
  <si>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</si>
  <si>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</si>
  <si>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</si>
  <si>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</si>
  <si>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</si>
  <si>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</si>
  <si>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</si>
  <si>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</si>
  <si>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</si>
  <si>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</si>
  <si>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</si>
  <si>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</si>
  <si>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</si>
  <si>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</si>
  <si>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</si>
  <si>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</si>
  <si>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</si>
  <si>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</si>
  <si>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</si>
  <si>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</si>
  <si>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</si>
  <si>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</si>
  <si>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</si>
  <si>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</si>
  <si>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</si>
  <si>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</si>
  <si>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</si>
  <si>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</si>
  <si>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</si>
  <si>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</si>
  <si>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</si>
  <si>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</si>
  <si>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</si>
  <si>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</si>
  <si>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</si>
  <si>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</si>
  <si>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</si>
  <si>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</si>
  <si>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</si>
  <si>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</si>
  <si>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</si>
  <si>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</si>
  <si>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</si>
  <si>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</si>
  <si>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</si>
  <si>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</si>
  <si>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</si>
  <si>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</si>
  <si>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</si>
  <si>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</si>
  <si>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</si>
  <si>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</si>
  <si>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</si>
  <si>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</si>
  <si>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</si>
  <si>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</si>
  <si>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</si>
  <si>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</si>
  <si>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</si>
  <si>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</si>
  <si>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</si>
  <si>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</si>
  <si>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</si>
  <si>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</si>
  <si>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</si>
  <si>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</si>
  <si>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</si>
  <si>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</si>
  <si>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</si>
  <si>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</si>
  <si>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</si>
  <si>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</si>
  <si>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</si>
  <si>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</si>
  <si>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</si>
  <si>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</si>
  <si>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</si>
  <si>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</si>
  <si>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</si>
  <si>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</si>
  <si>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</si>
  <si>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</si>
  <si>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</si>
  <si>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</si>
  <si>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</si>
  <si>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</si>
  <si>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</si>
  <si>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</si>
  <si>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</si>
  <si>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</si>
  <si>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</si>
  <si>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</si>
  <si>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</si>
  <si>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</si>
  <si>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</si>
  <si>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</si>
  <si>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</si>
  <si>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</si>
  <si>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</si>
  <si>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</si>
  <si>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</si>
  <si>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</si>
  <si>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</si>
  <si>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</si>
  <si>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</si>
  <si>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</si>
  <si>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</si>
  <si>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</si>
  <si>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</si>
  <si>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</si>
  <si>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</si>
  <si>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</si>
  <si>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</si>
  <si>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</si>
  <si>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</si>
  <si>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</si>
  <si>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</si>
  <si>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</si>
  <si>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</si>
  <si>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</si>
  <si>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</si>
  <si>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</si>
  <si>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</si>
  <si>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</si>
  <si>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</si>
  <si>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</si>
  <si>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</si>
  <si>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</si>
  <si>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</si>
  <si>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</si>
  <si>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</si>
  <si>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</si>
  <si>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</si>
  <si>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</si>
  <si>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</si>
  <si>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</si>
  <si>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</si>
  <si>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</si>
  <si>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</si>
  <si>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</si>
  <si>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</si>
  <si>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</si>
  <si>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</si>
  <si>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</si>
  <si>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</si>
  <si>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</si>
  <si>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</si>
  <si>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</si>
  <si>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</si>
  <si>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</si>
  <si>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</si>
  <si>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</si>
  <si>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</si>
  <si>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</si>
  <si>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</si>
  <si>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</si>
  <si>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</si>
  <si>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</si>
  <si>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</si>
  <si>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</si>
  <si>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</si>
  <si>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</si>
  <si>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</si>
  <si>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</si>
  <si>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</si>
  <si>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</si>
  <si>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</si>
  <si>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</si>
  <si>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</si>
  <si>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</si>
  <si>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</si>
  <si>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</si>
  <si>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</si>
  <si>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</si>
  <si>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</si>
  <si>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</si>
  <si>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</si>
  <si>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</si>
  <si>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</si>
  <si>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</si>
  <si>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</si>
  <si>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</si>
  <si>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</si>
  <si>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</si>
  <si>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</si>
  <si>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</si>
  <si>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</si>
  <si>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</si>
  <si>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</si>
  <si>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</si>
  <si>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</si>
  <si>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</si>
  <si>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</si>
  <si>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</si>
  <si>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</si>
  <si>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</si>
  <si>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</si>
  <si>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</si>
  <si>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</si>
  <si>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</si>
  <si>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</si>
  <si>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</si>
  <si>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</si>
  <si>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</si>
  <si>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</si>
  <si>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</si>
  <si>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</si>
  <si>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</si>
  <si>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</si>
  <si>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</si>
  <si>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</si>
  <si>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</si>
  <si>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</si>
  <si>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</si>
  <si>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</si>
  <si>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</si>
  <si>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</si>
  <si>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</si>
  <si>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</si>
  <si>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</si>
  <si>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</si>
  <si>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</si>
  <si>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</si>
  <si>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</si>
  <si>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</si>
  <si>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</si>
  <si>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</si>
  <si>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</si>
  <si>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</si>
  <si>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</si>
  <si>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</si>
  <si>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</si>
  <si>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</si>
  <si>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</si>
  <si>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</si>
  <si>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</si>
  <si>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</si>
  <si>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</si>
  <si>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</si>
  <si>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</si>
  <si>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</si>
  <si>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</si>
  <si>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</si>
  <si>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</si>
  <si>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</si>
  <si>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</si>
  <si>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</si>
  <si>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</si>
  <si>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</si>
  <si>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</si>
  <si>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</si>
  <si>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</si>
  <si>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</si>
  <si>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</si>
  <si>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</si>
  <si>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</si>
  <si>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</si>
  <si>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</si>
  <si>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</si>
  <si>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</si>
  <si>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</si>
  <si>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</si>
  <si>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</si>
  <si>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</si>
  <si>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</si>
  <si>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</si>
  <si>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</si>
  <si>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</si>
  <si>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</si>
  <si>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</si>
  <si>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</si>
  <si>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</si>
  <si>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</si>
  <si>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</si>
  <si>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</si>
  <si>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</si>
  <si>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</si>
  <si>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</si>
  <si>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</si>
  <si>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</si>
  <si>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</si>
  <si>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</si>
  <si>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</si>
  <si>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</si>
  <si>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</si>
  <si>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</si>
  <si>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</si>
  <si>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</si>
  <si>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</si>
  <si>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</si>
  <si>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</si>
  <si>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</si>
  <si>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</si>
  <si>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</si>
  <si>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</si>
  <si>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</si>
  <si>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</si>
  <si>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</si>
  <si>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</si>
  <si>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</si>
  <si>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</si>
  <si>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</si>
  <si>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</si>
  <si>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</si>
  <si>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</si>
  <si>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</si>
  <si>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</si>
  <si>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</si>
  <si>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</si>
  <si>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</si>
  <si>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</si>
  <si>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</si>
  <si>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</si>
  <si>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</si>
  <si>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</si>
  <si>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</si>
  <si>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</si>
  <si>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</si>
  <si>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</si>
  <si>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</si>
  <si>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</si>
  <si>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</si>
  <si>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</si>
  <si>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</si>
  <si>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</si>
  <si>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</si>
  <si>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</si>
  <si>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</si>
  <si>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</si>
  <si>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</si>
  <si>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</si>
  <si>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</si>
  <si>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</si>
  <si>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</si>
  <si>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</si>
  <si>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</si>
  <si>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</si>
  <si>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</si>
  <si>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</si>
  <si>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</si>
  <si>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</si>
  <si>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</si>
  <si>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</si>
  <si>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</si>
  <si>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</si>
  <si>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</si>
  <si>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</si>
  <si>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</si>
  <si>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</si>
  <si>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</si>
  <si>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</si>
  <si>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</si>
  <si>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</si>
  <si>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</si>
  <si>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</si>
  <si>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</si>
  <si>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</si>
  <si>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</si>
  <si>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</si>
  <si>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</si>
  <si>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</si>
  <si>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</si>
  <si>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</si>
  <si>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</si>
  <si>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</si>
  <si>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</si>
  <si>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</si>
  <si>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</si>
  <si>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</si>
  <si>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</si>
  <si>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</si>
  <si>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</si>
  <si>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</si>
  <si>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</si>
  <si>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</si>
  <si>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</si>
  <si>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</si>
  <si>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</si>
  <si>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</si>
  <si>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</si>
  <si>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</si>
  <si>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</si>
  <si>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</si>
  <si>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</si>
  <si>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</si>
  <si>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</si>
  <si>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</si>
  <si>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</si>
  <si>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</si>
  <si>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</si>
  <si>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</si>
  <si>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</si>
  <si>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</si>
  <si>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</si>
  <si>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</si>
  <si>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</si>
  <si>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</si>
  <si>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</si>
  <si>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</si>
  <si>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</si>
  <si>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</si>
  <si>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</si>
  <si>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</si>
  <si>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</si>
  <si>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</si>
  <si>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</si>
  <si>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</si>
  <si>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</si>
  <si>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</si>
  <si>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</si>
  <si>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</si>
  <si>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</si>
  <si>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</si>
  <si>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</si>
  <si>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</si>
  <si>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</si>
  <si>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</si>
  <si>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</si>
  <si>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</si>
  <si>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</si>
  <si>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</si>
  <si>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</si>
  <si>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</si>
  <si>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</si>
  <si>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</si>
  <si>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</si>
  <si>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</si>
  <si>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</si>
  <si>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</si>
  <si>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</si>
  <si>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</si>
  <si>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</si>
  <si>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</si>
  <si>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</si>
  <si>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</si>
  <si>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</si>
  <si>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</si>
  <si>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</si>
  <si>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</si>
  <si>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</si>
  <si>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</si>
  <si>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</si>
  <si>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</si>
  <si>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</si>
  <si>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</si>
  <si>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</si>
  <si>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</si>
  <si>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</si>
  <si>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</si>
  <si>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</si>
  <si>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</si>
  <si>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</si>
  <si>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</si>
  <si>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</si>
  <si>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</si>
  <si>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</si>
  <si>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</si>
  <si>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</si>
  <si>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</si>
  <si>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</si>
  <si>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</si>
  <si>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</si>
  <si>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</si>
  <si>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</si>
  <si>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</si>
  <si>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</si>
  <si>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</si>
  <si>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</si>
  <si>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</si>
  <si>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</si>
  <si>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</si>
  <si>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</si>
  <si>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</si>
  <si>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</si>
  <si>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</si>
  <si>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</si>
  <si>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</si>
  <si>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</si>
  <si>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</si>
  <si>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</si>
  <si>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</si>
  <si>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</si>
  <si>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</si>
  <si>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</si>
  <si>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</si>
  <si>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</si>
  <si>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</si>
  <si>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</si>
  <si>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</si>
  <si>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</si>
  <si>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</si>
  <si>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</si>
  <si>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</si>
  <si>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</si>
  <si>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</si>
  <si>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</si>
  <si>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</si>
  <si>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</si>
  <si>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</si>
  <si>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</si>
  <si>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</si>
  <si>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</si>
  <si>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</si>
  <si>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</si>
  <si>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</si>
  <si>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</si>
  <si>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</si>
  <si>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</si>
  <si>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</si>
  <si>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</si>
  <si>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</si>
  <si>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</si>
  <si>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</si>
  <si>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</si>
  <si>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</si>
  <si>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</si>
  <si>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</si>
  <si>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</si>
  <si>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</si>
  <si>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</si>
  <si>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</si>
  <si>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</si>
  <si>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</si>
  <si>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</si>
  <si>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</si>
  <si>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</si>
  <si>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</si>
  <si>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</si>
  <si>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</si>
  <si>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</si>
  <si>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</si>
  <si>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</si>
  <si>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</si>
  <si>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</si>
  <si>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</si>
  <si>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</si>
  <si>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</si>
  <si>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</si>
  <si>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</si>
  <si>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</si>
  <si>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</si>
  <si>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</si>
  <si>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</si>
  <si>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</si>
  <si>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</si>
  <si>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</si>
  <si>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</si>
  <si>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</si>
  <si>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</si>
  <si>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</si>
  <si>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</si>
  <si>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</si>
  <si>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</si>
  <si>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</si>
  <si>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</si>
  <si>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</si>
  <si>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</si>
  <si>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</si>
  <si>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</si>
  <si>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</si>
  <si>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</si>
  <si>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</si>
  <si>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</si>
  <si>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</si>
  <si>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</si>
  <si>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</si>
  <si>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</si>
  <si>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</si>
  <si>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</si>
  <si>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</si>
  <si>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</si>
  <si>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</si>
  <si>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</si>
  <si>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</si>
  <si>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</si>
  <si>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</si>
  <si>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</si>
  <si>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</si>
  <si>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</si>
  <si>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</si>
  <si>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</si>
  <si>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</si>
  <si>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</si>
  <si>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</si>
  <si>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</si>
  <si>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</si>
  <si>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</si>
  <si>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</si>
  <si>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</si>
  <si>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</si>
  <si>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</si>
  <si>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</si>
  <si>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</si>
  <si>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</si>
  <si>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</si>
  <si>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</si>
  <si>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</si>
  <si>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</si>
  <si>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</si>
  <si>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</si>
  <si>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</si>
  <si>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</si>
  <si>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</si>
  <si>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</si>
  <si>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</si>
  <si>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</si>
  <si>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</si>
  <si>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</si>
  <si>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</si>
  <si>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</si>
  <si>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</si>
  <si>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</si>
  <si>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</si>
  <si>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</si>
  <si>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</si>
  <si>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</si>
  <si>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</si>
  <si>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</si>
  <si>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</si>
  <si>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</si>
  <si>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</si>
  <si>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</si>
  <si>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</si>
  <si>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</si>
  <si>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</si>
  <si>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</si>
  <si>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</si>
  <si>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</si>
  <si>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</si>
  <si>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</si>
  <si>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</si>
  <si>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</si>
  <si>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</si>
  <si>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</si>
  <si>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</si>
  <si>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</si>
  <si>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</si>
  <si>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</si>
  <si>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</si>
  <si>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</si>
  <si>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</si>
  <si>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</si>
  <si>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</si>
  <si>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</si>
  <si>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</si>
  <si>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</si>
  <si>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</si>
  <si>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</si>
  <si>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</si>
  <si>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</si>
  <si>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</si>
  <si>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</si>
  <si>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</si>
  <si>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</si>
  <si>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</si>
  <si>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</si>
  <si>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</si>
  <si>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</si>
  <si>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</si>
  <si>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</si>
  <si>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</si>
  <si>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</si>
  <si>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</si>
  <si>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</si>
  <si>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</si>
  <si>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</si>
  <si>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</si>
  <si>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</si>
  <si>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</si>
  <si>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</si>
  <si>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</si>
  <si>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</si>
  <si>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</si>
  <si>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</si>
  <si>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</si>
  <si>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</si>
  <si>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</si>
  <si>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</si>
  <si>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</si>
  <si>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</si>
  <si>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</si>
  <si>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</si>
  <si>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</si>
  <si>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</si>
  <si>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</si>
  <si>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</si>
  <si>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</si>
  <si>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</si>
  <si>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</si>
  <si>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</si>
  <si>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</si>
  <si>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</si>
  <si>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</si>
  <si>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</si>
  <si>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</si>
  <si>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</si>
  <si>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</si>
  <si>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</si>
  <si>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</si>
  <si>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</si>
  <si>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</si>
  <si>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</si>
  <si>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</si>
  <si>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</si>
  <si>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</si>
  <si>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</si>
  <si>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</si>
  <si>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</si>
  <si>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</si>
  <si>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</si>
  <si>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</si>
  <si>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</si>
  <si>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</si>
  <si>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</si>
  <si>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</si>
  <si>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</si>
  <si>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</si>
  <si>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</si>
  <si>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</si>
  <si>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</si>
  <si>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</si>
  <si>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</si>
  <si>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</si>
  <si>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</si>
  <si>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</si>
  <si>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</si>
  <si>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</si>
  <si>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</si>
  <si>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</si>
  <si>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</si>
  <si>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</si>
  <si>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</si>
  <si>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</si>
  <si>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</si>
  <si>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</si>
  <si>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</si>
  <si>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</si>
  <si>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</si>
  <si>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</si>
  <si>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</si>
  <si>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</si>
  <si>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</si>
  <si>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</si>
  <si>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</si>
  <si>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</si>
  <si>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</si>
  <si>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</si>
  <si>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</si>
  <si>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</si>
  <si>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</si>
  <si>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</si>
  <si>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</si>
  <si>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</si>
  <si>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</si>
  <si>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</si>
  <si>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</si>
  <si>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</si>
  <si>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</si>
  <si>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</si>
  <si>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</si>
  <si>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</si>
  <si>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</si>
  <si>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</si>
  <si>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</si>
  <si>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</si>
  <si>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</si>
  <si>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</si>
  <si>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</si>
  <si>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</si>
  <si>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</si>
  <si>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</si>
  <si>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</si>
  <si>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</si>
  <si>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</si>
  <si>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</si>
  <si>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</si>
  <si>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</si>
  <si>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</si>
  <si>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</si>
  <si>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</si>
  <si>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</si>
  <si>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</si>
  <si>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</si>
  <si>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</si>
  <si>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</si>
  <si>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</si>
  <si>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</si>
  <si>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</si>
  <si>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</si>
  <si>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</si>
  <si>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</si>
  <si>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</si>
  <si>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</si>
  <si>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</si>
  <si>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</si>
  <si>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</si>
  <si>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</si>
  <si>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</si>
  <si>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</si>
  <si>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</si>
  <si>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</si>
  <si>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</si>
  <si>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</si>
  <si>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</si>
  <si>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</si>
  <si>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</si>
  <si>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</si>
  <si>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</si>
  <si>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</si>
  <si>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</si>
  <si>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</si>
  <si>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</si>
  <si>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</si>
  <si>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</si>
  <si>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</si>
  <si>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</si>
  <si>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</si>
  <si>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</si>
  <si>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</si>
  <si>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</si>
  <si>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</si>
  <si>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</si>
  <si>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</si>
  <si>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</si>
  <si>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</si>
  <si>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</si>
  <si>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</si>
  <si>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</si>
  <si>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</si>
  <si>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</si>
  <si>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</si>
  <si>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</si>
  <si>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</si>
  <si>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</si>
  <si>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</si>
  <si>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</si>
  <si>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</si>
  <si>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</si>
  <si>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</si>
  <si>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</si>
  <si>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</si>
  <si>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</si>
  <si>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</si>
  <si>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</si>
  <si>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</si>
  <si>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</si>
  <si>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</si>
  <si>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</si>
  <si>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</si>
  <si>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</si>
  <si>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</si>
  <si>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</si>
  <si>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</si>
  <si>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</si>
  <si>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</si>
  <si>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</si>
  <si>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</si>
  <si>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</si>
  <si>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</si>
  <si>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</si>
  <si>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</si>
  <si>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</si>
  <si>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</si>
  <si>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</si>
  <si>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</si>
  <si>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</si>
  <si>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</si>
  <si>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</si>
  <si>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</si>
  <si>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</si>
  <si>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</si>
  <si>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</si>
  <si>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</si>
  <si>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</si>
  <si>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</si>
  <si>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</si>
  <si>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</si>
  <si>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</si>
  <si>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</si>
  <si>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</si>
  <si>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</si>
  <si>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</si>
  <si>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</si>
  <si>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</si>
  <si>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</si>
  <si>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</si>
  <si>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</si>
  <si>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</si>
  <si>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</si>
  <si>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</si>
  <si>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</si>
  <si>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</si>
  <si>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</si>
  <si>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</si>
  <si>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</si>
  <si>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</si>
  <si>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</si>
  <si>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</si>
  <si>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</si>
  <si>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</si>
  <si>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</si>
  <si>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</si>
  <si>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</si>
  <si>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</si>
  <si>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</si>
  <si>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</si>
  <si>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</si>
  <si>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</si>
  <si>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</si>
  <si>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</si>
  <si>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</si>
  <si>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</si>
  <si>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</si>
  <si>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</si>
  <si>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</si>
  <si>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</si>
  <si>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</si>
  <si>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</si>
  <si>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</si>
  <si>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</si>
  <si>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</si>
  <si>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</si>
  <si>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</si>
  <si>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</si>
  <si>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</si>
  <si>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</si>
  <si>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</si>
  <si>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</si>
  <si>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</si>
  <si>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</si>
  <si>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</si>
  <si>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</si>
  <si>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</si>
  <si>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</si>
  <si>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</si>
  <si>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</si>
  <si>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</si>
  <si>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</si>
  <si>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</si>
  <si>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</si>
  <si>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</si>
  <si>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</si>
  <si>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</si>
  <si>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</si>
  <si>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</si>
  <si>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</si>
  <si>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</si>
  <si>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</si>
  <si>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</si>
  <si>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</si>
  <si>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</si>
  <si>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</si>
  <si>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</si>
  <si>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</si>
  <si>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</si>
  <si>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</si>
  <si>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</si>
  <si>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</si>
  <si>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</si>
  <si>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</si>
  <si>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</si>
  <si>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</si>
  <si>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</si>
  <si>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</si>
  <si>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</si>
  <si>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</si>
  <si>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</si>
  <si>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</si>
  <si>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</si>
  <si>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</si>
  <si>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</si>
  <si>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</si>
  <si>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</si>
  <si>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</si>
  <si>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</si>
  <si>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</si>
  <si>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</si>
  <si>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</si>
  <si>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</si>
  <si>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</si>
  <si>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</si>
  <si>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</si>
  <si>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</si>
  <si>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</si>
  <si>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</si>
  <si>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</si>
  <si>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</si>
  <si>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</si>
  <si>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</si>
  <si>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</si>
  <si>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</si>
  <si>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</si>
  <si>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</si>
  <si>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</si>
  <si>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</si>
  <si>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</si>
  <si>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</si>
  <si>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</si>
  <si>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</si>
  <si>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</si>
  <si>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</si>
  <si>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</si>
  <si>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WILSON XAVIER BENITEZ GOMEZ </t>
  </si>
  <si>
    <t>WILSON XAVIER BENITEZ GOMEZ</t>
  </si>
  <si>
    <t xml:space="preserve">Centro Comercial E Industrial Ternera N°2 Local D 2 </t>
  </si>
  <si>
    <t>3017827981</t>
  </si>
  <si>
    <t xml:space="preserve">CR 31  96A  69  LC  D 2 </t>
  </si>
  <si>
    <t>corpopiedralipe@hotmail.com</t>
  </si>
  <si>
    <t>0292-2020</t>
  </si>
  <si>
    <t>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t>
  </si>
  <si>
    <t>13005102020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</si>
  <si>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</si>
  <si>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
  </si>
  <si>
    <t>13005042020</t>
  </si>
  <si>
    <t>125-2020</t>
  </si>
  <si>
    <t>Prestar los servicios de educación inicial en el marco de la atención integral en Desarrollo Infantil en Medio Familiar -DIMF-, de conformidad con el Manuales Operativo de la Familiar, el Lineamiento Técnico para la Atención a la Primera Infancia y las directrices establecidas por el ICBF, en armonía con la Política de Estado para el Desarrollo Integral de la Primera Infancia de Cero a Siempre</t>
  </si>
  <si>
    <t>0180-2020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</si>
  <si>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</si>
  <si>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70-0324-2020</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</si>
  <si>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</si>
  <si>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0305-2020</t>
  </si>
  <si>
    <t xml:space="preserve"> 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 EN ARMONÍA CON LA POLÍTICA DE ESTADO PARA EL DESARRO</t>
  </si>
  <si>
    <t>2021-13-20000027.0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</si>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</sst>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70" zoomScaleNormal="70"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5" t="str">
        <f>HYPERLINK("#MI_Oferente_Singular!A114","CAPACIDAD RESIDUAL")</f>
        <v>CAPACIDAD RESIDUAL</v>
      </c>
      <c r="F8" s="186"/>
      <c r="G8" s="187"/>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5" t="str">
        <f>HYPERLINK("#MI_Oferente_Singular!A162","TALENTO HUMANO")</f>
        <v>TALENTO HUMANO</v>
      </c>
      <c r="F9" s="186"/>
      <c r="G9" s="187"/>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5" t="str">
        <f>HYPERLINK("#MI_Oferente_Singular!F162","INFRAESTRUCTURA")</f>
        <v>INFRAESTRUCTURA</v>
      </c>
      <c r="F10" s="186"/>
      <c r="G10" s="187"/>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2696</v>
      </c>
      <c r="D15" s="35"/>
      <c r="E15" s="35"/>
      <c r="F15" s="5"/>
      <c r="G15" s="32" t="s">
        <v>1168</v>
      </c>
      <c r="H15" s="103" t="s">
        <v>208</v>
      </c>
      <c r="I15" s="32" t="s">
        <v>2624</v>
      </c>
      <c r="J15" s="108" t="s">
        <v>2626</v>
      </c>
      <c r="L15" s="211" t="s">
        <v>8</v>
      </c>
      <c r="M15" s="21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7" t="s">
        <v>11</v>
      </c>
      <c r="J19" s="138" t="s">
        <v>10</v>
      </c>
      <c r="K19" s="138" t="s">
        <v>2609</v>
      </c>
      <c r="L19" s="138" t="s">
        <v>1161</v>
      </c>
      <c r="M19" s="138" t="s">
        <v>1162</v>
      </c>
      <c r="N19" s="139" t="s">
        <v>2610</v>
      </c>
      <c r="O19" s="134"/>
      <c r="Q19" s="51"/>
      <c r="R19" s="51"/>
    </row>
    <row r="20" spans="1:23" ht="30" customHeight="1" x14ac:dyDescent="0.25">
      <c r="A20" s="9"/>
      <c r="B20" s="109">
        <v>900457831</v>
      </c>
      <c r="C20" s="5"/>
      <c r="D20" s="73"/>
      <c r="E20" s="5"/>
      <c r="F20" s="5"/>
      <c r="G20" s="5"/>
      <c r="H20" s="188"/>
      <c r="I20" s="146" t="s">
        <v>208</v>
      </c>
      <c r="J20" s="147" t="s">
        <v>243</v>
      </c>
      <c r="K20" s="148">
        <v>2380507857</v>
      </c>
      <c r="L20" s="149">
        <v>44194</v>
      </c>
      <c r="M20" s="149">
        <v>44561</v>
      </c>
      <c r="N20" s="132">
        <f>+(M20-L20)/30</f>
        <v>12.233333333333333</v>
      </c>
      <c r="O20" s="135"/>
      <c r="U20" s="131"/>
      <c r="V20" s="105">
        <f ca="1">NOW()</f>
        <v>44188.407015625002</v>
      </c>
      <c r="W20" s="105">
        <f ca="1">NOW()</f>
        <v>44188.407015625002</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6"/>
      <c r="I37" s="127"/>
      <c r="J37" s="127"/>
      <c r="K37" s="127"/>
      <c r="L37" s="127"/>
      <c r="M37" s="127"/>
      <c r="N37" s="127"/>
      <c r="O37" s="128"/>
    </row>
    <row r="38" spans="1:16" ht="21" customHeight="1" x14ac:dyDescent="0.25">
      <c r="A38" s="9"/>
      <c r="B38" s="180" t="str">
        <f>VLOOKUP(B20,EAS!A2:B1439,2,0)</f>
        <v>CORPORACION PIEDRALIPE CORPOPIEDRALIPE</v>
      </c>
      <c r="C38" s="180"/>
      <c r="D38" s="180"/>
      <c r="E38" s="180"/>
      <c r="F38" s="180"/>
      <c r="G38" s="5"/>
      <c r="H38" s="129"/>
      <c r="I38" s="192" t="s">
        <v>7</v>
      </c>
      <c r="J38" s="192"/>
      <c r="K38" s="192"/>
      <c r="L38" s="192"/>
      <c r="M38" s="192"/>
      <c r="N38" s="192"/>
      <c r="O38" s="130"/>
    </row>
    <row r="39" spans="1:16" ht="42.95" customHeight="1" thickBot="1" x14ac:dyDescent="0.3">
      <c r="A39" s="10"/>
      <c r="B39" s="11"/>
      <c r="C39" s="11"/>
      <c r="D39" s="11"/>
      <c r="E39" s="11"/>
      <c r="F39" s="11"/>
      <c r="G39" s="11"/>
      <c r="H39" s="10"/>
      <c r="I39" s="224" t="s">
        <v>2697</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2665</v>
      </c>
      <c r="C48" s="112" t="s">
        <v>31</v>
      </c>
      <c r="D48" s="110" t="s">
        <v>2682</v>
      </c>
      <c r="E48" s="142">
        <v>43922</v>
      </c>
      <c r="F48" s="142">
        <v>44165</v>
      </c>
      <c r="G48" s="157">
        <f>IF(AND(E48&lt;&gt;"",F48&lt;&gt;""),((F48-E48)/30),"")</f>
        <v>8.1</v>
      </c>
      <c r="H48" s="114" t="s">
        <v>2683</v>
      </c>
      <c r="I48" s="113" t="s">
        <v>208</v>
      </c>
      <c r="J48" s="113" t="s">
        <v>210</v>
      </c>
      <c r="K48" s="121">
        <v>1959078775</v>
      </c>
      <c r="L48" s="115" t="s">
        <v>1148</v>
      </c>
      <c r="M48" s="117">
        <v>1</v>
      </c>
      <c r="N48" s="115" t="s">
        <v>2634</v>
      </c>
      <c r="O48" s="115" t="s">
        <v>1148</v>
      </c>
      <c r="P48" s="78"/>
    </row>
    <row r="49" spans="1:16" s="6" customFormat="1" ht="24.75" customHeight="1" x14ac:dyDescent="0.25">
      <c r="A49" s="140">
        <v>2</v>
      </c>
      <c r="B49" s="177" t="s">
        <v>2665</v>
      </c>
      <c r="C49" s="112" t="s">
        <v>31</v>
      </c>
      <c r="D49" s="110" t="s">
        <v>2694</v>
      </c>
      <c r="E49" s="142">
        <v>43922</v>
      </c>
      <c r="F49" s="142">
        <v>44165</v>
      </c>
      <c r="G49" s="157">
        <f t="shared" ref="G49:G50" si="2">IF(AND(E49&lt;&gt;"",F49&lt;&gt;""),((F49-E49)/30),"")</f>
        <v>8.1</v>
      </c>
      <c r="H49" s="177" t="s">
        <v>2695</v>
      </c>
      <c r="I49" s="113" t="s">
        <v>208</v>
      </c>
      <c r="J49" s="113" t="s">
        <v>222</v>
      </c>
      <c r="K49" s="116">
        <v>2323461633</v>
      </c>
      <c r="L49" s="115" t="s">
        <v>1148</v>
      </c>
      <c r="M49" s="117">
        <v>1</v>
      </c>
      <c r="N49" s="115" t="s">
        <v>2634</v>
      </c>
      <c r="O49" s="115" t="s">
        <v>1148</v>
      </c>
      <c r="P49" s="78"/>
    </row>
    <row r="50" spans="1:16" s="6" customFormat="1" ht="24.75" customHeight="1" x14ac:dyDescent="0.25">
      <c r="A50" s="140">
        <v>3</v>
      </c>
      <c r="B50" s="177" t="s">
        <v>2665</v>
      </c>
      <c r="C50" s="122" t="s">
        <v>31</v>
      </c>
      <c r="D50" s="176" t="s">
        <v>2694</v>
      </c>
      <c r="E50" s="142">
        <v>43922</v>
      </c>
      <c r="F50" s="142">
        <v>44165</v>
      </c>
      <c r="G50" s="157">
        <f t="shared" si="2"/>
        <v>8.1</v>
      </c>
      <c r="H50" s="177" t="s">
        <v>2695</v>
      </c>
      <c r="I50" s="113" t="s">
        <v>208</v>
      </c>
      <c r="J50" s="113" t="s">
        <v>239</v>
      </c>
      <c r="K50" s="121">
        <v>2323461633</v>
      </c>
      <c r="L50" s="122" t="s">
        <v>1148</v>
      </c>
      <c r="M50" s="117">
        <v>1</v>
      </c>
      <c r="N50" s="122" t="s">
        <v>2634</v>
      </c>
      <c r="O50" s="122" t="s">
        <v>1148</v>
      </c>
      <c r="P50" s="78"/>
    </row>
    <row r="51" spans="1:16" s="6" customFormat="1" ht="24.75" customHeight="1" outlineLevel="1" x14ac:dyDescent="0.25">
      <c r="A51" s="140">
        <v>4</v>
      </c>
      <c r="B51" s="177" t="s">
        <v>2665</v>
      </c>
      <c r="C51" s="122" t="s">
        <v>31</v>
      </c>
      <c r="D51" s="176" t="s">
        <v>2694</v>
      </c>
      <c r="E51" s="142">
        <v>43922</v>
      </c>
      <c r="F51" s="142">
        <v>44165</v>
      </c>
      <c r="G51" s="157">
        <f t="shared" ref="G51:G107" si="3">IF(AND(E51&lt;&gt;"",F51&lt;&gt;""),((F51-E51)/30),"")</f>
        <v>8.1</v>
      </c>
      <c r="H51" s="177" t="s">
        <v>2695</v>
      </c>
      <c r="I51" s="113" t="s">
        <v>208</v>
      </c>
      <c r="J51" s="113" t="s">
        <v>254</v>
      </c>
      <c r="K51" s="121">
        <v>2323461633</v>
      </c>
      <c r="L51" s="122" t="s">
        <v>1148</v>
      </c>
      <c r="M51" s="117">
        <v>1</v>
      </c>
      <c r="N51" s="122" t="s">
        <v>2634</v>
      </c>
      <c r="O51" s="122" t="s">
        <v>1148</v>
      </c>
      <c r="P51" s="78"/>
    </row>
    <row r="52" spans="1:16" s="7" customFormat="1" ht="24.75" customHeight="1" outlineLevel="1" x14ac:dyDescent="0.25">
      <c r="A52" s="141">
        <v>5</v>
      </c>
      <c r="B52" s="177" t="s">
        <v>2665</v>
      </c>
      <c r="C52" s="122" t="s">
        <v>31</v>
      </c>
      <c r="D52" s="176" t="s">
        <v>2694</v>
      </c>
      <c r="E52" s="142">
        <v>43922</v>
      </c>
      <c r="F52" s="142">
        <v>44165</v>
      </c>
      <c r="G52" s="157">
        <f t="shared" si="3"/>
        <v>8.1</v>
      </c>
      <c r="H52" s="177" t="s">
        <v>2695</v>
      </c>
      <c r="I52" s="113" t="s">
        <v>208</v>
      </c>
      <c r="J52" s="113" t="s">
        <v>220</v>
      </c>
      <c r="K52" s="121">
        <v>2323461633</v>
      </c>
      <c r="L52" s="122" t="s">
        <v>1148</v>
      </c>
      <c r="M52" s="117">
        <v>1</v>
      </c>
      <c r="N52" s="122" t="s">
        <v>2634</v>
      </c>
      <c r="O52" s="122" t="s">
        <v>1148</v>
      </c>
      <c r="P52" s="79"/>
    </row>
    <row r="53" spans="1:16" s="7" customFormat="1" ht="24.75" customHeight="1" outlineLevel="1" x14ac:dyDescent="0.25">
      <c r="A53" s="141">
        <v>6</v>
      </c>
      <c r="B53" s="177" t="s">
        <v>2665</v>
      </c>
      <c r="C53" s="122" t="s">
        <v>31</v>
      </c>
      <c r="D53" s="176" t="s">
        <v>2694</v>
      </c>
      <c r="E53" s="142">
        <v>43922</v>
      </c>
      <c r="F53" s="142">
        <v>44165</v>
      </c>
      <c r="G53" s="157">
        <f t="shared" si="3"/>
        <v>8.1</v>
      </c>
      <c r="H53" s="177" t="s">
        <v>2695</v>
      </c>
      <c r="I53" s="113" t="s">
        <v>208</v>
      </c>
      <c r="J53" s="113" t="s">
        <v>223</v>
      </c>
      <c r="K53" s="121">
        <v>2323461633</v>
      </c>
      <c r="L53" s="122" t="s">
        <v>1148</v>
      </c>
      <c r="M53" s="117">
        <v>1</v>
      </c>
      <c r="N53" s="122" t="s">
        <v>2634</v>
      </c>
      <c r="O53" s="122" t="s">
        <v>1148</v>
      </c>
      <c r="P53" s="79"/>
    </row>
    <row r="54" spans="1:16" s="7" customFormat="1" ht="24.75" customHeight="1" outlineLevel="1" x14ac:dyDescent="0.25">
      <c r="A54" s="141">
        <v>7</v>
      </c>
      <c r="B54" s="177" t="s">
        <v>2665</v>
      </c>
      <c r="C54" s="122" t="s">
        <v>31</v>
      </c>
      <c r="D54" s="110" t="s">
        <v>2690</v>
      </c>
      <c r="E54" s="142">
        <v>43885</v>
      </c>
      <c r="F54" s="142">
        <v>44196</v>
      </c>
      <c r="G54" s="157">
        <f t="shared" si="3"/>
        <v>10.366666666666667</v>
      </c>
      <c r="H54" s="177" t="s">
        <v>2691</v>
      </c>
      <c r="I54" s="113" t="s">
        <v>208</v>
      </c>
      <c r="J54" s="113" t="s">
        <v>241</v>
      </c>
      <c r="K54" s="118">
        <v>2045167157</v>
      </c>
      <c r="L54" s="122" t="s">
        <v>1148</v>
      </c>
      <c r="M54" s="117">
        <v>1</v>
      </c>
      <c r="N54" s="122" t="s">
        <v>1151</v>
      </c>
      <c r="O54" s="122" t="s">
        <v>1148</v>
      </c>
      <c r="P54" s="79"/>
    </row>
    <row r="55" spans="1:16" s="7" customFormat="1" ht="24.75" customHeight="1" outlineLevel="1" x14ac:dyDescent="0.25">
      <c r="A55" s="141">
        <v>8</v>
      </c>
      <c r="B55" s="177" t="s">
        <v>2665</v>
      </c>
      <c r="C55" s="122" t="s">
        <v>31</v>
      </c>
      <c r="D55" s="176" t="s">
        <v>2690</v>
      </c>
      <c r="E55" s="142">
        <v>43885</v>
      </c>
      <c r="F55" s="142">
        <v>44196</v>
      </c>
      <c r="G55" s="157">
        <f t="shared" si="3"/>
        <v>10.366666666666667</v>
      </c>
      <c r="H55" s="177" t="s">
        <v>2691</v>
      </c>
      <c r="I55" s="176" t="s">
        <v>208</v>
      </c>
      <c r="J55" s="113" t="s">
        <v>223</v>
      </c>
      <c r="K55" s="118">
        <v>2045167157</v>
      </c>
      <c r="L55" s="122" t="s">
        <v>1148</v>
      </c>
      <c r="M55" s="117">
        <v>1</v>
      </c>
      <c r="N55" s="122" t="s">
        <v>1151</v>
      </c>
      <c r="O55" s="122" t="s">
        <v>1148</v>
      </c>
      <c r="P55" s="79"/>
    </row>
    <row r="56" spans="1:16" s="7" customFormat="1" ht="24.75" customHeight="1" outlineLevel="1" x14ac:dyDescent="0.25">
      <c r="A56" s="141">
        <v>9</v>
      </c>
      <c r="B56" s="111"/>
      <c r="C56" s="112"/>
      <c r="D56" s="110"/>
      <c r="E56" s="142"/>
      <c r="F56" s="142"/>
      <c r="G56" s="157" t="str">
        <f t="shared" si="3"/>
        <v/>
      </c>
      <c r="H56" s="114"/>
      <c r="I56" s="113"/>
      <c r="J56" s="113"/>
      <c r="K56" s="118"/>
      <c r="L56" s="115"/>
      <c r="M56" s="117"/>
      <c r="N56" s="115"/>
      <c r="O56" s="115"/>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74" t="s">
        <v>2684</v>
      </c>
      <c r="E114" s="175">
        <v>44172</v>
      </c>
      <c r="F114" s="175">
        <v>44773</v>
      </c>
      <c r="G114" s="157">
        <f>IF(AND(E114&lt;&gt;"",F114&lt;&gt;""),((F114-E114)/30),"")</f>
        <v>20.033333333333335</v>
      </c>
      <c r="H114" s="177" t="s">
        <v>2685</v>
      </c>
      <c r="I114" s="119" t="s">
        <v>208</v>
      </c>
      <c r="J114" s="119" t="s">
        <v>210</v>
      </c>
      <c r="K114" s="178">
        <v>4688873643</v>
      </c>
      <c r="L114" s="100">
        <f>+IF(AND(K114&gt;0,O114="Ejecución"),(K114/877802)*Tabla28[[#This Row],[% participación]],IF(AND(K114&gt;0,O114&lt;&gt;"Ejecución"),"-",""))</f>
        <v>5341.6073818469313</v>
      </c>
      <c r="M114" s="122" t="s">
        <v>1148</v>
      </c>
      <c r="N114" s="170">
        <f t="shared" ref="N114:N117" si="4">+IF(M114="No",1,IF(M114="Si","Ingrese %",""))</f>
        <v>1</v>
      </c>
      <c r="O114" s="159" t="s">
        <v>1150</v>
      </c>
      <c r="P114" s="78"/>
    </row>
    <row r="115" spans="1:16" s="6" customFormat="1" ht="24.75" customHeight="1" x14ac:dyDescent="0.25">
      <c r="A115" s="140">
        <v>2</v>
      </c>
      <c r="B115" s="158" t="s">
        <v>2665</v>
      </c>
      <c r="C115" s="160" t="s">
        <v>31</v>
      </c>
      <c r="D115" s="63" t="s">
        <v>2687</v>
      </c>
      <c r="E115" s="142">
        <v>44172</v>
      </c>
      <c r="F115" s="142">
        <v>44773</v>
      </c>
      <c r="G115" s="157">
        <f t="shared" ref="G115:G116" si="5">IF(AND(E115&lt;&gt;"",F115&lt;&gt;""),((F115-E115)/30),"")</f>
        <v>20.033333333333335</v>
      </c>
      <c r="H115" s="64" t="s">
        <v>2686</v>
      </c>
      <c r="I115" s="63" t="s">
        <v>208</v>
      </c>
      <c r="J115" s="63" t="s">
        <v>222</v>
      </c>
      <c r="K115" s="178">
        <v>5728990546</v>
      </c>
      <c r="L115" s="100">
        <f>+IF(AND(K115&gt;0,O115="Ejecución"),(K115/877802)*Tabla28[[#This Row],[% participación]],IF(AND(K115&gt;0,O115&lt;&gt;"Ejecución"),"-",""))</f>
        <v>6526.5179915288418</v>
      </c>
      <c r="M115" s="65" t="s">
        <v>1148</v>
      </c>
      <c r="N115" s="170">
        <f t="shared" si="4"/>
        <v>1</v>
      </c>
      <c r="O115" s="159" t="s">
        <v>1150</v>
      </c>
      <c r="P115" s="78"/>
    </row>
    <row r="116" spans="1:16" s="6" customFormat="1" ht="24.75" customHeight="1" x14ac:dyDescent="0.25">
      <c r="A116" s="140">
        <v>3</v>
      </c>
      <c r="B116" s="158" t="s">
        <v>2665</v>
      </c>
      <c r="C116" s="160" t="s">
        <v>31</v>
      </c>
      <c r="D116" s="176" t="s">
        <v>2688</v>
      </c>
      <c r="E116" s="142">
        <v>43885</v>
      </c>
      <c r="F116" s="142">
        <v>44196</v>
      </c>
      <c r="G116" s="157">
        <f t="shared" si="5"/>
        <v>10.366666666666667</v>
      </c>
      <c r="H116" s="177" t="s">
        <v>2689</v>
      </c>
      <c r="I116" s="63" t="s">
        <v>711</v>
      </c>
      <c r="J116" s="63" t="s">
        <v>717</v>
      </c>
      <c r="K116" s="178">
        <v>1859126940</v>
      </c>
      <c r="L116" s="100">
        <f>+IF(AND(K116&gt;0,O116="Ejecución"),(K116/877802)*Tabla28[[#This Row],[% participación]],IF(AND(K116&gt;0,O116&lt;&gt;"Ejecución"),"-",""))</f>
        <v>2117.9342721935013</v>
      </c>
      <c r="M116" s="65" t="s">
        <v>1148</v>
      </c>
      <c r="N116" s="170">
        <f t="shared" si="4"/>
        <v>1</v>
      </c>
      <c r="O116" s="159" t="s">
        <v>1150</v>
      </c>
      <c r="P116" s="78"/>
    </row>
    <row r="117" spans="1:16" s="6" customFormat="1" ht="24.75" customHeight="1" outlineLevel="1" x14ac:dyDescent="0.25">
      <c r="A117" s="140">
        <v>4</v>
      </c>
      <c r="B117" s="158" t="s">
        <v>2665</v>
      </c>
      <c r="C117" s="160" t="s">
        <v>31</v>
      </c>
      <c r="D117" s="176" t="s">
        <v>2690</v>
      </c>
      <c r="E117" s="142">
        <v>43892</v>
      </c>
      <c r="F117" s="142">
        <v>44196</v>
      </c>
      <c r="G117" s="157">
        <f t="shared" ref="G117:G159" si="6">IF(AND(E117&lt;&gt;"",F117&lt;&gt;""),((F117-E117)/30),"")</f>
        <v>10.133333333333333</v>
      </c>
      <c r="H117" s="177" t="s">
        <v>2691</v>
      </c>
      <c r="I117" s="63" t="s">
        <v>208</v>
      </c>
      <c r="J117" s="63" t="s">
        <v>241</v>
      </c>
      <c r="K117" s="178">
        <v>2045167157</v>
      </c>
      <c r="L117" s="100">
        <f>+IF(AND(K117&gt;0,O117="Ejecución"),(K117/877802)*Tabla28[[#This Row],[% participación]],IF(AND(K117&gt;0,O117&lt;&gt;"Ejecución"),"-",""))</f>
        <v>2329.8729747710759</v>
      </c>
      <c r="M117" s="65" t="s">
        <v>1148</v>
      </c>
      <c r="N117" s="170">
        <f t="shared" si="4"/>
        <v>1</v>
      </c>
      <c r="O117" s="159" t="s">
        <v>1150</v>
      </c>
      <c r="P117" s="78"/>
    </row>
    <row r="118" spans="1:16" s="7" customFormat="1" ht="24.75" customHeight="1" outlineLevel="1" x14ac:dyDescent="0.25">
      <c r="A118" s="141">
        <v>5</v>
      </c>
      <c r="B118" s="158" t="s">
        <v>2665</v>
      </c>
      <c r="C118" s="160" t="s">
        <v>31</v>
      </c>
      <c r="D118" s="176" t="s">
        <v>2692</v>
      </c>
      <c r="E118" s="142">
        <v>44046</v>
      </c>
      <c r="F118" s="142">
        <v>44196</v>
      </c>
      <c r="G118" s="157">
        <f t="shared" si="6"/>
        <v>5</v>
      </c>
      <c r="H118" s="177" t="s">
        <v>2693</v>
      </c>
      <c r="I118" s="63" t="s">
        <v>453</v>
      </c>
      <c r="J118" s="63" t="s">
        <v>975</v>
      </c>
      <c r="K118" s="178">
        <v>124400000</v>
      </c>
      <c r="L118" s="100">
        <f>+IF(AND(K118&gt;0,O118="Ejecución"),(K118/877802)*Tabla28[[#This Row],[% participación]],IF(AND(K118&gt;0,O118&lt;&gt;"Ejecución"),"-",""))</f>
        <v>141.71760829891022</v>
      </c>
      <c r="M118" s="65" t="s">
        <v>1148</v>
      </c>
      <c r="N118" s="170">
        <f t="shared" ref="N118:N160" si="7">+IF(M118="No",1,IF(M118="Si","Ingrese %",""))</f>
        <v>1</v>
      </c>
      <c r="O118" s="159" t="s">
        <v>1150</v>
      </c>
      <c r="P118" s="79"/>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8"/>
      <c r="L119" s="100" t="str">
        <f>+IF(AND(K119&gt;0,O119="Ejecución"),(K119/877802)*Tabla28[[#This Row],[% participación]],IF(AND(K119&gt;0,O119&lt;&gt;"Ejecución"),"-",""))</f>
        <v/>
      </c>
      <c r="M119" s="65"/>
      <c r="N119" s="170" t="str">
        <f t="shared" si="7"/>
        <v/>
      </c>
      <c r="O119" s="159" t="s">
        <v>1150</v>
      </c>
      <c r="P119" s="79"/>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8"/>
      <c r="L120" s="100" t="str">
        <f>+IF(AND(K120&gt;0,O120="Ejecución"),(K120/877802)*Tabla28[[#This Row],[% participación]],IF(AND(K120&gt;0,O120&lt;&gt;"Ejecución"),"-",""))</f>
        <v/>
      </c>
      <c r="M120" s="65"/>
      <c r="N120" s="170" t="str">
        <f t="shared" si="7"/>
        <v/>
      </c>
      <c r="O120" s="159" t="s">
        <v>1150</v>
      </c>
      <c r="P120" s="79"/>
    </row>
    <row r="121" spans="1:16" s="7" customFormat="1" ht="24.75" customHeight="1" outlineLevel="1" x14ac:dyDescent="0.25">
      <c r="A121" s="141">
        <v>8</v>
      </c>
      <c r="B121" s="158" t="s">
        <v>2665</v>
      </c>
      <c r="C121" s="160" t="s">
        <v>31</v>
      </c>
      <c r="D121" s="63"/>
      <c r="E121" s="142"/>
      <c r="F121" s="142"/>
      <c r="G121" s="157" t="str">
        <f t="shared" si="6"/>
        <v/>
      </c>
      <c r="H121" s="102"/>
      <c r="I121" s="63"/>
      <c r="J121" s="63"/>
      <c r="K121" s="68"/>
      <c r="L121" s="100" t="str">
        <f>+IF(AND(K121&gt;0,O121="Ejecución"),(K121/877802)*Tabla28[[#This Row],[% participación]],IF(AND(K121&gt;0,O121&lt;&gt;"Ejecución"),"-",""))</f>
        <v/>
      </c>
      <c r="M121" s="65"/>
      <c r="N121" s="170" t="str">
        <f t="shared" si="7"/>
        <v/>
      </c>
      <c r="O121" s="159" t="s">
        <v>1150</v>
      </c>
      <c r="P121" s="79"/>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8"/>
      <c r="L122" s="100" t="str">
        <f>+IF(AND(K122&gt;0,O122="Ejecución"),(K122/877802)*Tabla28[[#This Row],[% participación]],IF(AND(K122&gt;0,O122&lt;&gt;"Ejecución"),"-",""))</f>
        <v/>
      </c>
      <c r="M122" s="65"/>
      <c r="N122" s="170" t="str">
        <f t="shared" si="7"/>
        <v/>
      </c>
      <c r="O122" s="159" t="s">
        <v>1150</v>
      </c>
      <c r="P122" s="79"/>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8"/>
      <c r="L123" s="100" t="str">
        <f>+IF(AND(K123&gt;0,O123="Ejecución"),(K123/877802)*Tabla28[[#This Row],[% participación]],IF(AND(K123&gt;0,O123&lt;&gt;"Ejecución"),"-",""))</f>
        <v/>
      </c>
      <c r="M123" s="65"/>
      <c r="N123" s="170" t="str">
        <f t="shared" si="7"/>
        <v/>
      </c>
      <c r="O123" s="159" t="s">
        <v>1150</v>
      </c>
      <c r="P123" s="79"/>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8"/>
      <c r="L124" s="100" t="str">
        <f>+IF(AND(K124&gt;0,O124="Ejecución"),(K124/877802)*Tabla28[[#This Row],[% participación]],IF(AND(K124&gt;0,O124&lt;&gt;"Ejecución"),"-",""))</f>
        <v/>
      </c>
      <c r="M124" s="65"/>
      <c r="N124" s="170" t="str">
        <f t="shared" si="7"/>
        <v/>
      </c>
      <c r="O124" s="159" t="s">
        <v>1150</v>
      </c>
      <c r="P124" s="79"/>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8"/>
      <c r="L125" s="100" t="str">
        <f>+IF(AND(K125&gt;0,O125="Ejecución"),(K125/877802)*Tabla28[[#This Row],[% participación]],IF(AND(K125&gt;0,O125&lt;&gt;"Ejecución"),"-",""))</f>
        <v/>
      </c>
      <c r="M125" s="65"/>
      <c r="N125" s="170" t="str">
        <f t="shared" si="7"/>
        <v/>
      </c>
      <c r="O125" s="159" t="s">
        <v>1150</v>
      </c>
      <c r="P125" s="79"/>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8"/>
      <c r="L126" s="100" t="str">
        <f>+IF(AND(K126&gt;0,O126="Ejecución"),(K126/877802)*Tabla28[[#This Row],[% participación]],IF(AND(K126&gt;0,O126&lt;&gt;"Ejecución"),"-",""))</f>
        <v/>
      </c>
      <c r="M126" s="65"/>
      <c r="N126" s="170" t="str">
        <f t="shared" si="7"/>
        <v/>
      </c>
      <c r="O126" s="159" t="s">
        <v>1150</v>
      </c>
      <c r="P126" s="79"/>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8"/>
      <c r="L127" s="100" t="str">
        <f>+IF(AND(K127&gt;0,O127="Ejecución"),(K127/877802)*Tabla28[[#This Row],[% participación]],IF(AND(K127&gt;0,O127&lt;&gt;"Ejecución"),"-",""))</f>
        <v/>
      </c>
      <c r="M127" s="65"/>
      <c r="N127" s="170" t="str">
        <f t="shared" si="7"/>
        <v/>
      </c>
      <c r="O127" s="159" t="s">
        <v>1150</v>
      </c>
      <c r="P127" s="79"/>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8"/>
      <c r="L128" s="100" t="str">
        <f>+IF(AND(K128&gt;0,O128="Ejecución"),(K128/877802)*Tabla28[[#This Row],[% participación]],IF(AND(K128&gt;0,O128&lt;&gt;"Ejecución"),"-",""))</f>
        <v/>
      </c>
      <c r="M128" s="65"/>
      <c r="N128" s="170" t="str">
        <f t="shared" si="7"/>
        <v/>
      </c>
      <c r="O128" s="159" t="s">
        <v>1150</v>
      </c>
      <c r="P128" s="79"/>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8"/>
      <c r="L129" s="100" t="str">
        <f>+IF(AND(K129&gt;0,O129="Ejecución"),(K129/877802)*Tabla28[[#This Row],[% participación]],IF(AND(K129&gt;0,O129&lt;&gt;"Ejecución"),"-",""))</f>
        <v/>
      </c>
      <c r="M129" s="65"/>
      <c r="N129" s="170" t="str">
        <f t="shared" si="7"/>
        <v/>
      </c>
      <c r="O129" s="159" t="s">
        <v>1150</v>
      </c>
      <c r="P129" s="79"/>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8"/>
      <c r="L130" s="100" t="str">
        <f>+IF(AND(K130&gt;0,O130="Ejecución"),(K130/877802)*Tabla28[[#This Row],[% participación]],IF(AND(K130&gt;0,O130&lt;&gt;"Ejecución"),"-",""))</f>
        <v/>
      </c>
      <c r="M130" s="65"/>
      <c r="N130" s="170" t="str">
        <f t="shared" si="7"/>
        <v/>
      </c>
      <c r="O130" s="159" t="s">
        <v>1150</v>
      </c>
      <c r="P130" s="79"/>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8"/>
      <c r="L131" s="100" t="str">
        <f>+IF(AND(K131&gt;0,O131="Ejecución"),(K131/877802)*Tabla28[[#This Row],[% participación]],IF(AND(K131&gt;0,O131&lt;&gt;"Ejecución"),"-",""))</f>
        <v/>
      </c>
      <c r="M131" s="65"/>
      <c r="N131" s="170" t="str">
        <f t="shared" si="7"/>
        <v/>
      </c>
      <c r="O131" s="159" t="s">
        <v>1150</v>
      </c>
      <c r="P131" s="79"/>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8"/>
      <c r="L132" s="100" t="str">
        <f>+IF(AND(K132&gt;0,O132="Ejecución"),(K132/877802)*Tabla28[[#This Row],[% participación]],IF(AND(K132&gt;0,O132&lt;&gt;"Ejecución"),"-",""))</f>
        <v/>
      </c>
      <c r="M132" s="65"/>
      <c r="N132" s="170" t="str">
        <f t="shared" si="7"/>
        <v/>
      </c>
      <c r="O132" s="159" t="s">
        <v>1150</v>
      </c>
      <c r="P132" s="79"/>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8"/>
      <c r="L133" s="100" t="str">
        <f>+IF(AND(K133&gt;0,O133="Ejecución"),(K133/877802)*Tabla28[[#This Row],[% participación]],IF(AND(K133&gt;0,O133&lt;&gt;"Ejecución"),"-",""))</f>
        <v/>
      </c>
      <c r="M133" s="65"/>
      <c r="N133" s="170" t="str">
        <f t="shared" si="7"/>
        <v/>
      </c>
      <c r="O133" s="159" t="s">
        <v>1150</v>
      </c>
      <c r="P133" s="79"/>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8"/>
      <c r="L134" s="100" t="str">
        <f>+IF(AND(K134&gt;0,O134="Ejecución"),(K134/877802)*Tabla28[[#This Row],[% participación]],IF(AND(K134&gt;0,O134&lt;&gt;"Ejecución"),"-",""))</f>
        <v/>
      </c>
      <c r="M134" s="65"/>
      <c r="N134" s="170" t="str">
        <f t="shared" si="7"/>
        <v/>
      </c>
      <c r="O134" s="159" t="s">
        <v>1150</v>
      </c>
      <c r="P134" s="79"/>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8"/>
      <c r="L135" s="100" t="str">
        <f>+IF(AND(K135&gt;0,O135="Ejecución"),(K135/877802)*Tabla28[[#This Row],[% participación]],IF(AND(K135&gt;0,O135&lt;&gt;"Ejecución"),"-",""))</f>
        <v/>
      </c>
      <c r="M135" s="65"/>
      <c r="N135" s="170" t="str">
        <f t="shared" si="7"/>
        <v/>
      </c>
      <c r="O135" s="159" t="s">
        <v>1150</v>
      </c>
      <c r="P135" s="79"/>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8"/>
      <c r="L136" s="100" t="str">
        <f>+IF(AND(K136&gt;0,O136="Ejecución"),(K136/877802)*Tabla28[[#This Row],[% participación]],IF(AND(K136&gt;0,O136&lt;&gt;"Ejecución"),"-",""))</f>
        <v/>
      </c>
      <c r="M136" s="65"/>
      <c r="N136" s="170" t="str">
        <f t="shared" si="7"/>
        <v/>
      </c>
      <c r="O136" s="159" t="s">
        <v>1150</v>
      </c>
      <c r="P136" s="79"/>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8"/>
      <c r="L137" s="100" t="str">
        <f>+IF(AND(K137&gt;0,O137="Ejecución"),(K137/877802)*Tabla28[[#This Row],[% participación]],IF(AND(K137&gt;0,O137&lt;&gt;"Ejecución"),"-",""))</f>
        <v/>
      </c>
      <c r="M137" s="65"/>
      <c r="N137" s="170" t="str">
        <f t="shared" si="7"/>
        <v/>
      </c>
      <c r="O137" s="159" t="s">
        <v>1150</v>
      </c>
      <c r="P137" s="79"/>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8"/>
      <c r="L138" s="100" t="str">
        <f>+IF(AND(K138&gt;0,O138="Ejecución"),(K138/877802)*Tabla28[[#This Row],[% participación]],IF(AND(K138&gt;0,O138&lt;&gt;"Ejecución"),"-",""))</f>
        <v/>
      </c>
      <c r="M138" s="65"/>
      <c r="N138" s="170" t="str">
        <f t="shared" si="7"/>
        <v/>
      </c>
      <c r="O138" s="159" t="s">
        <v>1150</v>
      </c>
      <c r="P138" s="79"/>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8"/>
      <c r="L139" s="100" t="str">
        <f>+IF(AND(K139&gt;0,O139="Ejecución"),(K139/877802)*Tabla28[[#This Row],[% participación]],IF(AND(K139&gt;0,O139&lt;&gt;"Ejecución"),"-",""))</f>
        <v/>
      </c>
      <c r="M139" s="65"/>
      <c r="N139" s="170" t="str">
        <f t="shared" si="7"/>
        <v/>
      </c>
      <c r="O139" s="159" t="s">
        <v>1150</v>
      </c>
      <c r="P139" s="79"/>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8"/>
      <c r="L140" s="100" t="str">
        <f>+IF(AND(K140&gt;0,O140="Ejecución"),(K140/877802)*Tabla28[[#This Row],[% participación]],IF(AND(K140&gt;0,O140&lt;&gt;"Ejecución"),"-",""))</f>
        <v/>
      </c>
      <c r="M140" s="65"/>
      <c r="N140" s="170" t="str">
        <f t="shared" si="7"/>
        <v/>
      </c>
      <c r="O140" s="159" t="s">
        <v>1150</v>
      </c>
      <c r="P140" s="79"/>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8"/>
      <c r="L141" s="100" t="str">
        <f>+IF(AND(K141&gt;0,O141="Ejecución"),(K141/877802)*Tabla28[[#This Row],[% participación]],IF(AND(K141&gt;0,O141&lt;&gt;"Ejecución"),"-",""))</f>
        <v/>
      </c>
      <c r="M141" s="65"/>
      <c r="N141" s="170" t="str">
        <f t="shared" si="7"/>
        <v/>
      </c>
      <c r="O141" s="159" t="s">
        <v>1150</v>
      </c>
      <c r="P141" s="79"/>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8"/>
      <c r="L142" s="100" t="str">
        <f>+IF(AND(K142&gt;0,O142="Ejecución"),(K142/877802)*Tabla28[[#This Row],[% participación]],IF(AND(K142&gt;0,O142&lt;&gt;"Ejecución"),"-",""))</f>
        <v/>
      </c>
      <c r="M142" s="65"/>
      <c r="N142" s="170" t="str">
        <f t="shared" si="7"/>
        <v/>
      </c>
      <c r="O142" s="159" t="s">
        <v>1150</v>
      </c>
      <c r="P142" s="79"/>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8"/>
      <c r="L143" s="100" t="str">
        <f>+IF(AND(K143&gt;0,O143="Ejecución"),(K143/877802)*Tabla28[[#This Row],[% participación]],IF(AND(K143&gt;0,O143&lt;&gt;"Ejecución"),"-",""))</f>
        <v/>
      </c>
      <c r="M143" s="65"/>
      <c r="N143" s="170" t="str">
        <f t="shared" si="7"/>
        <v/>
      </c>
      <c r="O143" s="159" t="s">
        <v>1150</v>
      </c>
      <c r="P143" s="79"/>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8"/>
      <c r="L144" s="100" t="str">
        <f>+IF(AND(K144&gt;0,O144="Ejecución"),(K144/877802)*Tabla28[[#This Row],[% participación]],IF(AND(K144&gt;0,O144&lt;&gt;"Ejecución"),"-",""))</f>
        <v/>
      </c>
      <c r="M144" s="65"/>
      <c r="N144" s="170" t="str">
        <f t="shared" si="7"/>
        <v/>
      </c>
      <c r="O144" s="159" t="s">
        <v>1150</v>
      </c>
      <c r="P144" s="79"/>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8"/>
      <c r="L145" s="100" t="str">
        <f>+IF(AND(K145&gt;0,O145="Ejecución"),(K145/877802)*Tabla28[[#This Row],[% participación]],IF(AND(K145&gt;0,O145&lt;&gt;"Ejecución"),"-",""))</f>
        <v/>
      </c>
      <c r="M145" s="65"/>
      <c r="N145" s="170" t="str">
        <f t="shared" si="7"/>
        <v/>
      </c>
      <c r="O145" s="159" t="s">
        <v>1150</v>
      </c>
      <c r="P145" s="79"/>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8"/>
      <c r="L146" s="100" t="str">
        <f>+IF(AND(K146&gt;0,O146="Ejecución"),(K146/877802)*Tabla28[[#This Row],[% participación]],IF(AND(K146&gt;0,O146&lt;&gt;"Ejecución"),"-",""))</f>
        <v/>
      </c>
      <c r="M146" s="65"/>
      <c r="N146" s="170" t="str">
        <f t="shared" si="7"/>
        <v/>
      </c>
      <c r="O146" s="159" t="s">
        <v>1150</v>
      </c>
      <c r="P146" s="79"/>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8"/>
      <c r="L147" s="100" t="str">
        <f>+IF(AND(K147&gt;0,O147="Ejecución"),(K147/877802)*Tabla28[[#This Row],[% participación]],IF(AND(K147&gt;0,O147&lt;&gt;"Ejecución"),"-",""))</f>
        <v/>
      </c>
      <c r="M147" s="65"/>
      <c r="N147" s="170" t="str">
        <f t="shared" si="7"/>
        <v/>
      </c>
      <c r="O147" s="159" t="s">
        <v>1150</v>
      </c>
      <c r="P147" s="79"/>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8"/>
      <c r="L148" s="100" t="str">
        <f>+IF(AND(K148&gt;0,O148="Ejecución"),(K148/877802)*Tabla28[[#This Row],[% participación]],IF(AND(K148&gt;0,O148&lt;&gt;"Ejecución"),"-",""))</f>
        <v/>
      </c>
      <c r="M148" s="65"/>
      <c r="N148" s="170" t="str">
        <f t="shared" si="7"/>
        <v/>
      </c>
      <c r="O148" s="159" t="s">
        <v>1150</v>
      </c>
      <c r="P148" s="79"/>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8"/>
      <c r="L149" s="100" t="str">
        <f>+IF(AND(K149&gt;0,O149="Ejecución"),(K149/877802)*Tabla28[[#This Row],[% participación]],IF(AND(K149&gt;0,O149&lt;&gt;"Ejecución"),"-",""))</f>
        <v/>
      </c>
      <c r="M149" s="65"/>
      <c r="N149" s="170" t="str">
        <f t="shared" si="7"/>
        <v/>
      </c>
      <c r="O149" s="159" t="s">
        <v>1150</v>
      </c>
      <c r="P149" s="79"/>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8"/>
      <c r="L150" s="100" t="str">
        <f>+IF(AND(K150&gt;0,O150="Ejecución"),(K150/877802)*Tabla28[[#This Row],[% participación]],IF(AND(K150&gt;0,O150&lt;&gt;"Ejecución"),"-",""))</f>
        <v/>
      </c>
      <c r="M150" s="65"/>
      <c r="N150" s="170" t="str">
        <f t="shared" si="7"/>
        <v/>
      </c>
      <c r="O150" s="159" t="s">
        <v>1150</v>
      </c>
      <c r="P150" s="79"/>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8"/>
      <c r="L151" s="100" t="str">
        <f>+IF(AND(K151&gt;0,O151="Ejecución"),(K151/877802)*Tabla28[[#This Row],[% participación]],IF(AND(K151&gt;0,O151&lt;&gt;"Ejecución"),"-",""))</f>
        <v/>
      </c>
      <c r="M151" s="65"/>
      <c r="N151" s="170" t="str">
        <f t="shared" si="7"/>
        <v/>
      </c>
      <c r="O151" s="159" t="s">
        <v>1150</v>
      </c>
      <c r="P151" s="79"/>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8"/>
      <c r="L152" s="100" t="str">
        <f>+IF(AND(K152&gt;0,O152="Ejecución"),(K152/877802)*Tabla28[[#This Row],[% participación]],IF(AND(K152&gt;0,O152&lt;&gt;"Ejecución"),"-",""))</f>
        <v/>
      </c>
      <c r="M152" s="65"/>
      <c r="N152" s="170" t="str">
        <f t="shared" si="7"/>
        <v/>
      </c>
      <c r="O152" s="159" t="s">
        <v>1150</v>
      </c>
      <c r="P152" s="79"/>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8"/>
      <c r="L153" s="100" t="str">
        <f>+IF(AND(K153&gt;0,O153="Ejecución"),(K153/877802)*Tabla28[[#This Row],[% participación]],IF(AND(K153&gt;0,O153&lt;&gt;"Ejecución"),"-",""))</f>
        <v/>
      </c>
      <c r="M153" s="65"/>
      <c r="N153" s="170" t="str">
        <f t="shared" si="7"/>
        <v/>
      </c>
      <c r="O153" s="159" t="s">
        <v>1150</v>
      </c>
      <c r="P153" s="79"/>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8"/>
      <c r="L154" s="100" t="str">
        <f>+IF(AND(K154&gt;0,O154="Ejecución"),(K154/877802)*Tabla28[[#This Row],[% participación]],IF(AND(K154&gt;0,O154&lt;&gt;"Ejecución"),"-",""))</f>
        <v/>
      </c>
      <c r="M154" s="65"/>
      <c r="N154" s="170" t="str">
        <f t="shared" si="7"/>
        <v/>
      </c>
      <c r="O154" s="159" t="s">
        <v>1150</v>
      </c>
      <c r="P154" s="79"/>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8"/>
      <c r="L155" s="100" t="str">
        <f>+IF(AND(K155&gt;0,O155="Ejecución"),(K155/877802)*Tabla28[[#This Row],[% participación]],IF(AND(K155&gt;0,O155&lt;&gt;"Ejecución"),"-",""))</f>
        <v/>
      </c>
      <c r="M155" s="65"/>
      <c r="N155" s="170" t="str">
        <f t="shared" si="7"/>
        <v/>
      </c>
      <c r="O155" s="159" t="s">
        <v>1150</v>
      </c>
      <c r="P155" s="79"/>
    </row>
    <row r="156" spans="1:16" s="7" customFormat="1" ht="24" customHeight="1" outlineLevel="1" x14ac:dyDescent="0.25">
      <c r="A156" s="141">
        <v>43</v>
      </c>
      <c r="B156" s="158" t="s">
        <v>2665</v>
      </c>
      <c r="C156" s="160" t="s">
        <v>31</v>
      </c>
      <c r="D156" s="63"/>
      <c r="E156" s="142"/>
      <c r="F156" s="142"/>
      <c r="G156" s="157" t="str">
        <f t="shared" si="6"/>
        <v/>
      </c>
      <c r="H156" s="64"/>
      <c r="I156" s="63"/>
      <c r="J156" s="63"/>
      <c r="K156" s="68"/>
      <c r="L156" s="100" t="str">
        <f>+IF(AND(K156&gt;0,O156="Ejecución"),(K156/877802)*Tabla28[[#This Row],[% participación]],IF(AND(K156&gt;0,O156&lt;&gt;"Ejecución"),"-",""))</f>
        <v/>
      </c>
      <c r="M156" s="65"/>
      <c r="N156" s="170" t="str">
        <f t="shared" si="7"/>
        <v/>
      </c>
      <c r="O156" s="159" t="s">
        <v>1150</v>
      </c>
      <c r="P156" s="79"/>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8"/>
      <c r="L157" s="100" t="str">
        <f>+IF(AND(K157&gt;0,O157="Ejecución"),(K157/877802)*Tabla28[[#This Row],[% participación]],IF(AND(K157&gt;0,O157&lt;&gt;"Ejecución"),"-",""))</f>
        <v/>
      </c>
      <c r="M157" s="65"/>
      <c r="N157" s="170" t="str">
        <f t="shared" si="7"/>
        <v/>
      </c>
      <c r="O157" s="159" t="s">
        <v>1150</v>
      </c>
      <c r="P157" s="79"/>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8"/>
      <c r="L158" s="100" t="str">
        <f>+IF(AND(K158&gt;0,O158="Ejecución"),(K158/877802)*Tabla28[[#This Row],[% participación]],IF(AND(K158&gt;0,O158&lt;&gt;"Ejecución"),"-",""))</f>
        <v/>
      </c>
      <c r="M158" s="65"/>
      <c r="N158" s="170" t="str">
        <f t="shared" si="7"/>
        <v/>
      </c>
      <c r="O158" s="159" t="s">
        <v>1150</v>
      </c>
      <c r="P158" s="79"/>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8"/>
      <c r="L159" s="100" t="str">
        <f>+IF(AND(K159&gt;0,O159="Ejecución"),(K159/877802)*Tabla28[[#This Row],[% participación]],IF(AND(K159&gt;0,O159&lt;&gt;"Ejecución"),"-",""))</f>
        <v/>
      </c>
      <c r="M159" s="65"/>
      <c r="N159" s="170" t="str">
        <f t="shared" si="7"/>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8"/>
      <c r="L160" s="100" t="str">
        <f>+IF(AND(K160&gt;0,O160="Ejecución"),(K160/877802)*Tabla28[[#This Row],[% participación]],IF(AND(K160&gt;0,O160&lt;&gt;"Ejecución"),"-",""))</f>
        <v/>
      </c>
      <c r="M160" s="65"/>
      <c r="N160" s="170" t="str">
        <f t="shared" si="7"/>
        <v/>
      </c>
      <c r="O160" s="159" t="s">
        <v>1150</v>
      </c>
      <c r="P160" s="79"/>
    </row>
    <row r="161" spans="1:28" ht="23.1" customHeight="1" thickBot="1" x14ac:dyDescent="0.3">
      <c r="O161" s="172"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4"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1"/>
      <c r="Z178" s="162" t="str">
        <f>IF(Y178&gt;0,SUM(E180+Y178),"")</f>
        <v/>
      </c>
      <c r="AA178" s="19"/>
      <c r="AB178" s="19"/>
    </row>
    <row r="179" spans="1:28" ht="23.25" x14ac:dyDescent="0.25">
      <c r="A179" s="9"/>
      <c r="B179" s="223" t="s">
        <v>2669</v>
      </c>
      <c r="C179" s="223"/>
      <c r="D179" s="223"/>
      <c r="E179" s="168">
        <v>0.02</v>
      </c>
      <c r="F179" s="167">
        <v>1E-3</v>
      </c>
      <c r="G179" s="162">
        <f>IF(F179&gt;0,SUM(E179+F179),"")</f>
        <v>2.1000000000000001E-2</v>
      </c>
      <c r="H179" s="5"/>
      <c r="I179" s="223" t="s">
        <v>2671</v>
      </c>
      <c r="J179" s="223"/>
      <c r="K179" s="223"/>
      <c r="L179" s="223"/>
      <c r="M179" s="169">
        <v>0.02</v>
      </c>
      <c r="O179" s="8"/>
      <c r="Q179" s="19"/>
      <c r="R179" s="156">
        <f>IF(M179&gt;0,SUM(L179+M179),"")</f>
        <v>0.02</v>
      </c>
      <c r="T179" s="19"/>
      <c r="U179" s="179" t="s">
        <v>1166</v>
      </c>
      <c r="V179" s="179"/>
      <c r="W179" s="179"/>
      <c r="X179" s="24">
        <v>0.02</v>
      </c>
      <c r="Y179" s="161"/>
      <c r="Z179" s="162" t="str">
        <f>IF(Y179&gt;0,SUM(E181+Y179),"")</f>
        <v/>
      </c>
      <c r="AA179" s="19"/>
      <c r="AB179" s="19"/>
    </row>
    <row r="180" spans="1:28" ht="23.25" hidden="1" x14ac:dyDescent="0.25">
      <c r="A180" s="9"/>
      <c r="B180" s="203"/>
      <c r="C180" s="203"/>
      <c r="D180" s="203"/>
      <c r="E180" s="166"/>
      <c r="H180" s="5"/>
      <c r="I180" s="203"/>
      <c r="J180" s="203"/>
      <c r="K180" s="203"/>
      <c r="L180" s="203"/>
      <c r="M180" s="5"/>
      <c r="O180" s="8"/>
      <c r="Q180" s="19"/>
      <c r="R180" s="156" t="str">
        <f>IF(S180&gt;0,SUM(L180+S180),"")</f>
        <v/>
      </c>
      <c r="S180" s="161"/>
      <c r="T180" s="19"/>
      <c r="U180" s="179" t="s">
        <v>1167</v>
      </c>
      <c r="V180" s="179"/>
      <c r="W180" s="179"/>
      <c r="X180" s="24">
        <v>0.03</v>
      </c>
      <c r="Y180" s="161"/>
      <c r="Z180" s="162" t="str">
        <f>IF(Y180&gt;0,SUM(E182+Y180),"")</f>
        <v/>
      </c>
      <c r="AA180" s="19"/>
      <c r="AB180" s="19"/>
    </row>
    <row r="181" spans="1:28" ht="23.25" hidden="1" x14ac:dyDescent="0.25">
      <c r="A181" s="9"/>
      <c r="B181" s="203"/>
      <c r="C181" s="203"/>
      <c r="D181" s="203"/>
      <c r="E181" s="166"/>
      <c r="H181" s="5"/>
      <c r="I181" s="203"/>
      <c r="J181" s="203"/>
      <c r="K181" s="203"/>
      <c r="L181" s="203"/>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3"/>
      <c r="C182" s="203"/>
      <c r="D182" s="203"/>
      <c r="E182" s="166"/>
      <c r="H182" s="5"/>
      <c r="I182" s="203"/>
      <c r="J182" s="203"/>
      <c r="K182" s="203"/>
      <c r="L182" s="203"/>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2.1000000000000001E-2</v>
      </c>
      <c r="D185" s="91" t="s">
        <v>2628</v>
      </c>
      <c r="E185" s="94">
        <f>+(C185*SUM(K20:K35))</f>
        <v>49990664.997000001</v>
      </c>
      <c r="F185" s="92"/>
      <c r="G185" s="93"/>
      <c r="H185" s="88"/>
      <c r="I185" s="90" t="s">
        <v>2627</v>
      </c>
      <c r="J185" s="163">
        <f>+SUM(M179:M183)</f>
        <v>0.02</v>
      </c>
      <c r="K185" s="204" t="s">
        <v>2628</v>
      </c>
      <c r="L185" s="204"/>
      <c r="M185" s="94">
        <f>+J185*(SUM(K20:K35))</f>
        <v>47610157.140000001</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8" t="s">
        <v>2636</v>
      </c>
      <c r="C192" s="238"/>
      <c r="E192" s="5" t="s">
        <v>20</v>
      </c>
      <c r="H192" s="26" t="s">
        <v>24</v>
      </c>
      <c r="J192" s="5" t="s">
        <v>2637</v>
      </c>
      <c r="K192" s="5"/>
      <c r="M192" s="5"/>
      <c r="N192" s="5"/>
      <c r="O192" s="8"/>
      <c r="Q192" s="151"/>
      <c r="R192" s="152"/>
      <c r="S192" s="152"/>
      <c r="T192" s="151"/>
    </row>
    <row r="193" spans="1:18" x14ac:dyDescent="0.25">
      <c r="A193" s="9"/>
      <c r="C193" s="124">
        <v>41974</v>
      </c>
      <c r="D193" s="5"/>
      <c r="E193" s="123">
        <v>1865</v>
      </c>
      <c r="F193" s="5"/>
      <c r="G193" s="5"/>
      <c r="H193" s="144" t="s">
        <v>2676</v>
      </c>
      <c r="J193" s="5"/>
      <c r="K193" s="124">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2678</v>
      </c>
      <c r="J211" s="27" t="s">
        <v>2622</v>
      </c>
      <c r="K211" s="145" t="s">
        <v>2680</v>
      </c>
      <c r="L211" s="21"/>
      <c r="M211" s="21"/>
      <c r="N211" s="21"/>
      <c r="O211" s="8"/>
    </row>
    <row r="212" spans="1:15" x14ac:dyDescent="0.25">
      <c r="A212" s="9"/>
      <c r="B212" s="27" t="s">
        <v>2619</v>
      </c>
      <c r="C212" s="144" t="s">
        <v>2677</v>
      </c>
      <c r="D212" s="21"/>
      <c r="G212" s="27" t="s">
        <v>2621</v>
      </c>
      <c r="H212" s="145" t="s">
        <v>2679</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2020-12-23T13:08:41Z</cp:lastPrinted>
  <dcterms:created xsi:type="dcterms:W3CDTF">2020-10-14T21:57:42Z</dcterms:created>
  <dcterms:modified xsi:type="dcterms:W3CDTF">2020-12-23T14:46:08Z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