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BOLÍVAR\2021-13-1000032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<sst xmlns="http://schemas.openxmlformats.org/spreadsheetml/2006/main" count="3118" uniqueCount="2698">
  <si>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</si>
  <si>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</si>
  <si>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</si>
  <si>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</si>
  <si>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</si>
  <si>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</si>
  <si>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</si>
  <si>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</si>
  <si>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</si>
  <si>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</si>
  <si>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</si>
  <si>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</si>
  <si>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</si>
  <si>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</si>
  <si>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</si>
  <si>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</si>
  <si>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</si>
  <si>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</si>
  <si>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</si>
  <si>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</si>
  <si>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</si>
  <si>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</si>
  <si>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</si>
  <si>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</si>
  <si>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</si>
  <si>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</si>
  <si>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</si>
  <si>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</si>
  <si>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</si>
  <si>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</si>
  <si>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</si>
  <si>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</si>
  <si>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</si>
  <si>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</si>
  <si>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</si>
  <si>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</si>
  <si>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</si>
  <si>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</si>
  <si>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</si>
  <si>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</si>
  <si>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</si>
  <si>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</si>
  <si>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</si>
  <si>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</si>
  <si>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</si>
  <si>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</si>
  <si>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</si>
  <si>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</si>
  <si>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</si>
  <si>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</si>
  <si>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</si>
  <si>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</si>
  <si>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</si>
  <si>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</si>
  <si>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</si>
  <si>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</si>
  <si>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</si>
  <si>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</si>
  <si>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</si>
  <si>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</si>
  <si>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</si>
  <si>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</si>
  <si>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</si>
  <si>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</si>
  <si>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</si>
  <si>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</si>
  <si>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</si>
  <si>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</si>
  <si>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</si>
  <si>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</si>
  <si>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</si>
  <si>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</si>
  <si>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</si>
  <si>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</si>
  <si>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</si>
  <si>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</si>
  <si>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</si>
  <si>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</si>
  <si>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</si>
  <si>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</si>
  <si>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</si>
  <si>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</si>
  <si>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</si>
  <si>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</si>
  <si>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</si>
  <si>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</si>
  <si>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</si>
  <si>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</si>
  <si>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</si>
  <si>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</si>
  <si>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</si>
  <si>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</si>
  <si>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</si>
  <si>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</si>
  <si>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</si>
  <si>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</si>
  <si>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</si>
  <si>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</si>
  <si>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</si>
  <si>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</si>
  <si>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</si>
  <si>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</si>
  <si>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</si>
  <si>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</si>
  <si>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</si>
  <si>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</si>
  <si>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</si>
  <si>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</si>
  <si>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</si>
  <si>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</si>
  <si>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</si>
  <si>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</si>
  <si>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</si>
  <si>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</si>
  <si>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</si>
  <si>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</si>
  <si>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</si>
  <si>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</si>
  <si>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</si>
  <si>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</si>
  <si>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</si>
  <si>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</si>
  <si>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</si>
  <si>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</si>
  <si>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</si>
  <si>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</si>
  <si>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</si>
  <si>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</si>
  <si>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</si>
  <si>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</si>
  <si>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</si>
  <si>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</si>
  <si>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</si>
  <si>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</si>
  <si>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</si>
  <si>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</si>
  <si>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</si>
  <si>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</si>
  <si>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</si>
  <si>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</si>
  <si>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</si>
  <si>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</si>
  <si>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</si>
  <si>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</si>
  <si>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</si>
  <si>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</si>
  <si>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</si>
  <si>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</si>
  <si>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</si>
  <si>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</si>
  <si>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</si>
  <si>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</si>
  <si>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</si>
  <si>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</si>
  <si>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</si>
  <si>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</si>
  <si>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</si>
  <si>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</si>
  <si>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</si>
  <si>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</si>
  <si>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</si>
  <si>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</si>
  <si>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</si>
  <si>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</si>
  <si>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</si>
  <si>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</si>
  <si>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</si>
  <si>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</si>
  <si>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</si>
  <si>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</si>
  <si>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</si>
  <si>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</si>
  <si>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</si>
  <si>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</si>
  <si>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</si>
  <si>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</si>
  <si>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</si>
  <si>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</si>
  <si>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</si>
  <si>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</si>
  <si>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</si>
  <si>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</si>
  <si>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</si>
  <si>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</si>
  <si>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</si>
  <si>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</si>
  <si>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</si>
  <si>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</si>
  <si>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</si>
  <si>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</si>
  <si>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</si>
  <si>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</si>
  <si>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</si>
  <si>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</si>
  <si>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</si>
  <si>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</si>
  <si>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</si>
  <si>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</si>
  <si>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</si>
  <si>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</si>
  <si>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</si>
  <si>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</si>
  <si>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</si>
  <si>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</si>
  <si>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</si>
  <si>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</si>
  <si>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</si>
  <si>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</si>
  <si>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</si>
  <si>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</si>
  <si>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</si>
  <si>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</si>
  <si>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</si>
  <si>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</si>
  <si>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</si>
  <si>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</si>
  <si>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</si>
  <si>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</si>
  <si>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</si>
  <si>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</si>
  <si>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</si>
  <si>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</si>
  <si>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</si>
  <si>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</si>
  <si>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</si>
  <si>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</si>
  <si>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</si>
  <si>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</si>
  <si>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</si>
  <si>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</si>
  <si>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</si>
  <si>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</si>
  <si>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</si>
  <si>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</si>
  <si>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</si>
  <si>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</si>
  <si>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</si>
  <si>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</si>
  <si>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</si>
  <si>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</si>
  <si>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</si>
  <si>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</si>
  <si>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</si>
  <si>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</si>
  <si>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</si>
  <si>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</si>
  <si>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</si>
  <si>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</si>
  <si>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</si>
  <si>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</si>
  <si>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</si>
  <si>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</si>
  <si>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</si>
  <si>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</si>
  <si>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</si>
  <si>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</si>
  <si>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</si>
  <si>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</si>
  <si>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</si>
  <si>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</si>
  <si>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</si>
  <si>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</si>
  <si>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</si>
  <si>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</si>
  <si>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</si>
  <si>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</si>
  <si>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</si>
  <si>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</si>
  <si>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</si>
  <si>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</si>
  <si>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</si>
  <si>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</si>
  <si>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</si>
  <si>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</si>
  <si>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</si>
  <si>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</si>
  <si>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</si>
  <si>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</si>
  <si>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</si>
  <si>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</si>
  <si>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</si>
  <si>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</si>
  <si>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</si>
  <si>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</si>
  <si>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</si>
  <si>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</si>
  <si>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</si>
  <si>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</si>
  <si>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</si>
  <si>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</si>
  <si>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</si>
  <si>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</si>
  <si>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</si>
  <si>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</si>
  <si>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</si>
  <si>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</si>
  <si>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</si>
  <si>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</si>
  <si>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</si>
  <si>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</si>
  <si>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</si>
  <si>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</si>
  <si>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</si>
  <si>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</si>
  <si>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</si>
  <si>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</si>
  <si>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</si>
  <si>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</si>
  <si>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</si>
  <si>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</si>
  <si>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</si>
  <si>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</si>
  <si>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</si>
  <si>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</si>
  <si>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</si>
  <si>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</si>
  <si>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</si>
  <si>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</si>
  <si>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</si>
  <si>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</si>
  <si>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</si>
  <si>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</si>
  <si>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</si>
  <si>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</si>
  <si>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</si>
  <si>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</si>
  <si>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</si>
  <si>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</si>
  <si>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</si>
  <si>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</si>
  <si>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</si>
  <si>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</si>
  <si>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</si>
  <si>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</si>
  <si>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</si>
  <si>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</si>
  <si>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</si>
  <si>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</si>
  <si>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</si>
  <si>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</si>
  <si>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</si>
  <si>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</si>
  <si>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</si>
  <si>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</si>
  <si>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</si>
  <si>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</si>
  <si>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</si>
  <si>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</si>
  <si>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</si>
  <si>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</si>
  <si>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</si>
  <si>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</si>
  <si>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</si>
  <si>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</si>
  <si>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</si>
  <si>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</si>
  <si>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</si>
  <si>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</si>
  <si>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</si>
  <si>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</si>
  <si>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</si>
  <si>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</si>
  <si>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</si>
  <si>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</si>
  <si>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</si>
  <si>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</si>
  <si>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</si>
  <si>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</si>
  <si>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</si>
  <si>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</si>
  <si>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</si>
  <si>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</si>
  <si>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</si>
  <si>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</si>
  <si>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</si>
  <si>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</si>
  <si>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</si>
  <si>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</si>
  <si>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</si>
  <si>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</si>
  <si>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</si>
  <si>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</si>
  <si>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</si>
  <si>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</si>
  <si>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</si>
  <si>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</si>
  <si>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</si>
  <si>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</si>
  <si>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</si>
  <si>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</si>
  <si>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</si>
  <si>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</si>
  <si>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</si>
  <si>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</si>
  <si>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</si>
  <si>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</si>
  <si>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</si>
  <si>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</si>
  <si>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</si>
  <si>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</si>
  <si>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</si>
  <si>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</si>
  <si>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</si>
  <si>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</si>
  <si>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</si>
  <si>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</si>
  <si>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</si>
  <si>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</si>
  <si>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</si>
  <si>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</si>
  <si>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</si>
  <si>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</si>
  <si>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</si>
  <si>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</si>
  <si>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</si>
  <si>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</si>
  <si>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</si>
  <si>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</si>
  <si>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</si>
  <si>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</si>
  <si>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</si>
  <si>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</si>
  <si>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</si>
  <si>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</si>
  <si>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</si>
  <si>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</si>
  <si>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</si>
  <si>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</si>
  <si>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</si>
  <si>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</si>
  <si>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</si>
  <si>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</si>
  <si>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</si>
  <si>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</si>
  <si>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</si>
  <si>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</si>
  <si>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</si>
  <si>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</si>
  <si>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</si>
  <si>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</si>
  <si>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</si>
  <si>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</si>
  <si>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</si>
  <si>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</si>
  <si>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</si>
  <si>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</si>
  <si>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</si>
  <si>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</si>
  <si>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</si>
  <si>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</si>
  <si>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</si>
  <si>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</si>
  <si>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</si>
  <si>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</si>
  <si>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</si>
  <si>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</si>
  <si>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</si>
  <si>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</si>
  <si>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</si>
  <si>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</si>
  <si>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</si>
  <si>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</si>
  <si>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</si>
  <si>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</si>
  <si>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</si>
  <si>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</si>
  <si>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</si>
  <si>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</si>
  <si>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</si>
  <si>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</si>
  <si>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</si>
  <si>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</si>
  <si>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</si>
  <si>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</si>
  <si>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</si>
  <si>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</si>
  <si>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</si>
  <si>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</si>
  <si>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</si>
  <si>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</si>
  <si>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</si>
  <si>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</si>
  <si>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</si>
  <si>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</si>
  <si>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</si>
  <si>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</si>
  <si>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</si>
  <si>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</si>
  <si>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</si>
  <si>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</si>
  <si>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</si>
  <si>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</si>
  <si>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</si>
  <si>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</si>
  <si>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</si>
  <si>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</si>
  <si>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</si>
  <si>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</si>
  <si>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</si>
  <si>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</si>
  <si>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</si>
  <si>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</si>
  <si>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</si>
  <si>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</si>
  <si>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</si>
  <si>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</si>
  <si>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</si>
  <si>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</si>
  <si>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</si>
  <si>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</si>
  <si>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</si>
  <si>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</si>
  <si>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</si>
  <si>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</si>
  <si>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</si>
  <si>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</si>
  <si>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</si>
  <si>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</si>
  <si>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</si>
  <si>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</si>
  <si>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</si>
  <si>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</si>
  <si>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</si>
  <si>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</si>
  <si>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</si>
  <si>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</si>
  <si>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</si>
  <si>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</si>
  <si>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</si>
  <si>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</si>
  <si>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</si>
  <si>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</si>
  <si>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</si>
  <si>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</si>
  <si>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</si>
  <si>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</si>
  <si>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</si>
  <si>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</si>
  <si>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</si>
  <si>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</si>
  <si>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</si>
  <si>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</si>
  <si>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</si>
  <si>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</si>
  <si>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</si>
  <si>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</si>
  <si>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</si>
  <si>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</si>
  <si>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</si>
  <si>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</si>
  <si>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</si>
  <si>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</si>
  <si>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</si>
  <si>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</si>
  <si>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</si>
  <si>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</si>
  <si>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</si>
  <si>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</si>
  <si>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</si>
  <si>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</si>
  <si>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</si>
  <si>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</si>
  <si>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</si>
  <si>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</si>
  <si>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</si>
  <si>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</si>
  <si>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</si>
  <si>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</si>
  <si>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</si>
  <si>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</si>
  <si>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</si>
  <si>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</si>
  <si>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</si>
  <si>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</si>
  <si>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</si>
  <si>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</si>
  <si>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</si>
  <si>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</si>
  <si>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</si>
  <si>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</si>
  <si>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</si>
  <si>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</si>
  <si>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</si>
  <si>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</si>
  <si>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</si>
  <si>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</si>
  <si>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</si>
  <si>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</si>
  <si>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</si>
  <si>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</si>
  <si>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</si>
  <si>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</si>
  <si>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</si>
  <si>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</si>
  <si>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</si>
  <si>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</si>
  <si>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</si>
  <si>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</si>
  <si>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</si>
  <si>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</si>
  <si>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</si>
  <si>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</si>
  <si>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</si>
  <si>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</si>
  <si>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</si>
  <si>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</si>
  <si>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</si>
  <si>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</si>
  <si>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</si>
  <si>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</si>
  <si>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</si>
  <si>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</si>
  <si>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</si>
  <si>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</si>
  <si>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</si>
  <si>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</si>
  <si>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</si>
  <si>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</si>
  <si>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</si>
  <si>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</si>
  <si>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</si>
  <si>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</si>
  <si>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</si>
  <si>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</si>
  <si>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</si>
  <si>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</si>
  <si>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</si>
  <si>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</si>
  <si>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</si>
  <si>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</si>
  <si>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</si>
  <si>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</si>
  <si>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</si>
  <si>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</si>
  <si>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</si>
  <si>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</si>
  <si>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</si>
  <si>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</si>
  <si>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</si>
  <si>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</si>
  <si>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</si>
  <si>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</si>
  <si>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</si>
  <si>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</si>
  <si>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</si>
  <si>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</si>
  <si>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</si>
  <si>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</si>
  <si>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</si>
  <si>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</si>
  <si>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</si>
  <si>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</si>
  <si>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</si>
  <si>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</si>
  <si>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</si>
  <si>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</si>
  <si>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</si>
  <si>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</si>
  <si>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</si>
  <si>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</si>
  <si>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</si>
  <si>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</si>
  <si>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</si>
  <si>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</si>
  <si>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</si>
  <si>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</si>
  <si>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</si>
  <si>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</si>
  <si>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</si>
  <si>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</si>
  <si>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</si>
  <si>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</si>
  <si>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</si>
  <si>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</si>
  <si>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</si>
  <si>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</si>
  <si>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</si>
  <si>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</si>
  <si>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</si>
  <si>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</si>
  <si>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</si>
  <si>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</si>
  <si>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</si>
  <si>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</si>
  <si>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</si>
  <si>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</si>
  <si>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</si>
  <si>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</si>
  <si>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</si>
  <si>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</si>
  <si>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</si>
  <si>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</si>
  <si>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</si>
  <si>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</si>
  <si>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</si>
  <si>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</si>
  <si>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</si>
  <si>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</si>
  <si>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</si>
  <si>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</si>
  <si>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</si>
  <si>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</si>
  <si>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</si>
  <si>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</si>
  <si>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</si>
  <si>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</si>
  <si>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</si>
  <si>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</si>
  <si>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</si>
  <si>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</si>
  <si>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</si>
  <si>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</si>
  <si>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</si>
  <si>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</si>
  <si>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</si>
  <si>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</si>
  <si>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</si>
  <si>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</si>
  <si>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</si>
  <si>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</si>
  <si>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</si>
  <si>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</si>
  <si>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</si>
  <si>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</si>
  <si>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</si>
  <si>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</si>
  <si>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</si>
  <si>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</si>
  <si>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</si>
  <si>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</si>
  <si>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</si>
  <si>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</si>
  <si>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</si>
  <si>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</si>
  <si>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</si>
  <si>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</si>
  <si>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</si>
  <si>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</si>
  <si>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</si>
  <si>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</si>
  <si>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</si>
  <si>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</si>
  <si>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</si>
  <si>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</si>
  <si>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</si>
  <si>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</si>
  <si>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</si>
  <si>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</si>
  <si>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</si>
  <si>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</si>
  <si>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</si>
  <si>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</si>
  <si>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</si>
  <si>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</si>
  <si>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</si>
  <si>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</si>
  <si>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</si>
  <si>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</si>
  <si>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</si>
  <si>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</si>
  <si>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</si>
  <si>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</si>
  <si>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</si>
  <si>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</si>
  <si>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</si>
  <si>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</si>
  <si>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</si>
  <si>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</si>
  <si>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</si>
  <si>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</si>
  <si>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</si>
  <si>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</si>
  <si>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</si>
  <si>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</si>
  <si>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</si>
  <si>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</si>
  <si>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</si>
  <si>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</si>
  <si>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</si>
  <si>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</si>
  <si>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</si>
  <si>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</si>
  <si>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</si>
  <si>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</si>
  <si>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</si>
  <si>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</si>
  <si>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</si>
  <si>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</si>
  <si>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</si>
  <si>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</si>
  <si>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</si>
  <si>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</si>
  <si>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</si>
  <si>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</si>
  <si>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</si>
  <si>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</si>
  <si>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</si>
  <si>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</si>
  <si>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</si>
  <si>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</si>
  <si>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</si>
  <si>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</si>
  <si>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</si>
  <si>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</si>
  <si>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</si>
  <si>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</si>
  <si>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</si>
  <si>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</si>
  <si>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</si>
  <si>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</si>
  <si>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</si>
  <si>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</si>
  <si>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</si>
  <si>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</si>
  <si>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</si>
  <si>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</si>
  <si>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</si>
  <si>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</si>
  <si>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</si>
  <si>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</si>
  <si>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</si>
  <si>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</si>
  <si>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</si>
  <si>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</si>
  <si>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</si>
  <si>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</si>
  <si>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</si>
  <si>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</si>
  <si>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</si>
  <si>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</si>
  <si>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</si>
  <si>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</si>
  <si>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</si>
  <si>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</si>
  <si>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</si>
  <si>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</si>
  <si>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</si>
  <si>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</si>
  <si>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</si>
  <si>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</si>
  <si>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</si>
  <si>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</si>
  <si>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</si>
  <si>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</si>
  <si>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</si>
  <si>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</si>
  <si>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</si>
  <si>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</si>
  <si>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</si>
  <si>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</si>
  <si>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</si>
  <si>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</si>
  <si>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</si>
  <si>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</si>
  <si>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</si>
  <si>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</si>
  <si>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</si>
  <si>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</si>
  <si>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</si>
  <si>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</si>
  <si>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</si>
  <si>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</si>
  <si>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</si>
  <si>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</si>
  <si>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</si>
  <si>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</si>
  <si>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</si>
  <si>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</si>
  <si>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</si>
  <si>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</si>
  <si>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</si>
  <si>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</si>
  <si>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</si>
  <si>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</si>
  <si>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</si>
  <si>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</si>
  <si>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</si>
  <si>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</si>
  <si>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</si>
  <si>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</si>
  <si>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</si>
  <si>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</si>
  <si>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</si>
  <si>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</si>
  <si>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</si>
  <si>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</si>
  <si>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</si>
  <si>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</si>
  <si>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</si>
  <si>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</si>
  <si>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</si>
  <si>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</si>
  <si>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</si>
  <si>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</si>
  <si>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</si>
  <si>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</si>
  <si>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</si>
  <si>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</si>
  <si>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</si>
  <si>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</si>
  <si>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</si>
  <si>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</si>
  <si>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</si>
  <si>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</si>
  <si>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</si>
  <si>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</si>
  <si>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</si>
  <si>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</si>
  <si>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</si>
  <si>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</si>
  <si>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</si>
  <si>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</si>
  <si>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</si>
  <si>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</si>
  <si>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</si>
  <si>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</si>
  <si>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</si>
  <si>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</si>
  <si>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</si>
  <si>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</si>
  <si>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</si>
  <si>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</si>
  <si>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</si>
  <si>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</si>
  <si>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</si>
  <si>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</si>
  <si>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</si>
  <si>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</si>
  <si>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</si>
  <si>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</si>
  <si>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</si>
  <si>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</si>
  <si>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</si>
  <si>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</si>
  <si>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</si>
  <si>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</si>
  <si>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</si>
  <si>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</si>
  <si>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</si>
  <si>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</si>
  <si>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</si>
  <si>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</si>
  <si>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</si>
  <si>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</si>
  <si>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</si>
  <si>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</si>
  <si>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</si>
  <si>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</si>
  <si>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</si>
  <si>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</si>
  <si>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</si>
  <si>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</si>
  <si>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</si>
  <si>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</si>
  <si>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</si>
  <si>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</si>
  <si>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</si>
  <si>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</si>
  <si>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</si>
  <si>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</si>
  <si>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</si>
  <si>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</si>
  <si>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</si>
  <si>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</si>
  <si>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</si>
  <si>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</si>
  <si>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</si>
  <si>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</si>
  <si>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</si>
  <si>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</si>
  <si>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</si>
  <si>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</si>
  <si>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</si>
  <si>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</si>
  <si>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</si>
  <si>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</si>
  <si>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</si>
  <si>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</si>
  <si>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</si>
  <si>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</si>
  <si>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</si>
  <si>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</si>
  <si>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</si>
  <si>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</si>
  <si>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</si>
  <si>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</si>
  <si>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</si>
  <si>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</si>
  <si>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</si>
  <si>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</si>
  <si>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</si>
  <si>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</si>
  <si>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</si>
  <si>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</si>
  <si>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</si>
  <si>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</si>
  <si>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</si>
  <si>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</si>
  <si>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</si>
  <si>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</si>
  <si>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</si>
  <si>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</si>
  <si>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</si>
  <si>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</si>
  <si>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</si>
  <si>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</si>
  <si>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</si>
  <si>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</si>
  <si>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</si>
  <si>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</si>
  <si>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</si>
  <si>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</si>
  <si>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</si>
  <si>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</si>
  <si>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</si>
  <si>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</si>
  <si>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</si>
  <si>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</si>
  <si>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</si>
  <si>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</si>
  <si>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</si>
  <si>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</si>
  <si>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</si>
  <si>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</si>
  <si>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</si>
  <si>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</si>
  <si>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</si>
  <si>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</si>
  <si>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</si>
  <si>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</si>
  <si>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</si>
  <si>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</si>
  <si>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</si>
  <si>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</si>
  <si>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</si>
  <si>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</si>
  <si>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</si>
  <si>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</si>
  <si>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</si>
  <si>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</si>
  <si>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</si>
  <si>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</si>
  <si>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</si>
  <si>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</si>
  <si>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</si>
  <si>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</si>
  <si>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</si>
  <si>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</si>
  <si>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</si>
  <si>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</si>
  <si>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</si>
  <si>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</si>
  <si>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</si>
  <si>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</si>
  <si>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</si>
  <si>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</si>
  <si>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</si>
  <si>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</si>
  <si>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</si>
  <si>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</si>
  <si>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</si>
  <si>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</si>
  <si>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</si>
  <si>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</si>
  <si>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</si>
  <si>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</si>
  <si>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</si>
  <si>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</si>
  <si>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</si>
  <si>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</si>
  <si>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</si>
  <si>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</si>
  <si>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</si>
  <si>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</si>
  <si>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</si>
  <si>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</si>
  <si>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</si>
  <si>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</si>
  <si>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</si>
  <si>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</si>
  <si>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</si>
  <si>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</si>
  <si>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</si>
  <si>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</si>
  <si>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</si>
  <si>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</si>
  <si>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</si>
  <si>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</si>
  <si>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</si>
  <si>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</si>
  <si>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</si>
  <si>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</si>
  <si>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</si>
  <si>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</si>
  <si>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</si>
  <si>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</si>
  <si>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</si>
  <si>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</si>
  <si>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</si>
  <si>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</si>
  <si>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</si>
  <si>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</si>
  <si>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</si>
  <si>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</si>
  <si>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</si>
  <si>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</si>
  <si>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</si>
  <si>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</si>
  <si>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</si>
  <si>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</si>
  <si>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</si>
  <si>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</si>
  <si>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</si>
  <si>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</si>
  <si>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</si>
  <si>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</si>
  <si>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</si>
  <si>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</si>
  <si>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</si>
  <si>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</si>
  <si>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</si>
  <si>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</si>
  <si>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</si>
  <si>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</si>
  <si>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</si>
  <si>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</si>
  <si>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</si>
  <si>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</si>
  <si>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</si>
  <si>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</si>
  <si>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</si>
  <si>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</si>
  <si>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</si>
  <si>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</si>
  <si>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</si>
  <si>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</si>
  <si>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</si>
  <si>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</si>
  <si>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</si>
  <si>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</si>
  <si>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</si>
  <si>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</si>
  <si>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</si>
  <si>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</si>
  <si>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</si>
  <si>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</si>
  <si>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</si>
  <si>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</si>
  <si>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</si>
  <si>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</si>
  <si>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</si>
  <si>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</si>
  <si>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</si>
  <si>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</si>
  <si>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</si>
  <si>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</si>
  <si>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</si>
  <si>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</si>
  <si>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</si>
  <si>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</si>
  <si>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</si>
  <si>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</si>
  <si>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</si>
  <si>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</si>
  <si>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</si>
  <si>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</si>
  <si>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</si>
  <si>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</si>
  <si>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</si>
  <si>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</si>
  <si>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</si>
  <si>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</si>
  <si>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</si>
  <si>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</si>
  <si>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</si>
  <si>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</si>
  <si>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</si>
  <si>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</si>
  <si>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</si>
  <si>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</si>
  <si>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</si>
  <si>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</si>
  <si>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</si>
  <si>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</si>
  <si>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</si>
  <si>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</si>
  <si>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</si>
  <si>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</si>
  <si>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</si>
  <si>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</si>
  <si>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</si>
  <si>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</si>
  <si>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</si>
  <si>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</si>
  <si>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</si>
  <si>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</si>
  <si>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</si>
  <si>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</si>
  <si>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</si>
  <si>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</si>
  <si>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</si>
  <si>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</si>
  <si>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</si>
  <si>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</si>
  <si>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</si>
  <si>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</si>
  <si>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</si>
  <si>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</si>
  <si>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</si>
  <si>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</si>
  <si>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</si>
  <si>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</si>
  <si>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</si>
  <si>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</si>
  <si>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</si>
  <si>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</si>
  <si>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</si>
  <si>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</si>
  <si>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</si>
  <si>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</si>
  <si>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</si>
  <si>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</si>
  <si>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</si>
  <si>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</si>
  <si>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</si>
  <si>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</si>
  <si>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</si>
  <si>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</si>
  <si>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</si>
  <si>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</si>
  <si>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</si>
  <si>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</si>
  <si>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</si>
  <si>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</si>
  <si>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</si>
  <si>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</si>
  <si>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</si>
  <si>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</si>
  <si>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</si>
  <si>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</si>
  <si>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</si>
  <si>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</si>
  <si>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</si>
  <si>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</si>
  <si>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</si>
  <si>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</si>
  <si>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</si>
  <si>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</si>
  <si>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</si>
  <si>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</si>
  <si>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</si>
  <si>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</si>
  <si>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</si>
  <si>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</si>
  <si>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</si>
  <si>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</si>
  <si>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</si>
  <si>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</si>
  <si>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</si>
  <si>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</si>
  <si>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</si>
  <si>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</si>
  <si>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</si>
  <si>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</si>
  <si>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</si>
  <si>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</si>
  <si>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</si>
  <si>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</si>
  <si>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</si>
  <si>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</si>
  <si>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</si>
  <si>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</si>
  <si>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</si>
  <si>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</si>
  <si>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</si>
  <si>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</si>
  <si>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</si>
  <si>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</si>
  <si>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</si>
  <si>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</si>
  <si>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</si>
  <si>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</si>
  <si>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</si>
  <si>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</si>
  <si>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</si>
  <si>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</si>
  <si>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</si>
  <si>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</si>
  <si>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</si>
  <si>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</si>
  <si>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</si>
  <si>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</si>
  <si>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</si>
  <si>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</si>
  <si>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</si>
  <si>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</si>
  <si>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</si>
  <si>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</si>
  <si>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</si>
  <si>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</si>
  <si>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</si>
  <si>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</si>
  <si>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</si>
  <si>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</si>
  <si>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</si>
  <si>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</si>
  <si>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</si>
  <si>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</si>
  <si>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</si>
  <si>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</si>
  <si>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</si>
  <si>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</si>
  <si>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</si>
  <si>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</si>
  <si>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</si>
  <si>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</si>
  <si>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</si>
  <si>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</si>
  <si>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</si>
  <si>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</si>
  <si>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</si>
  <si>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</si>
  <si>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</si>
  <si>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</si>
  <si>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</si>
  <si>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</si>
  <si>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</si>
  <si>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</si>
  <si>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</si>
  <si>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</si>
  <si>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</si>
  <si>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</si>
  <si>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</si>
  <si>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</si>
  <si>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</si>
  <si>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</si>
  <si>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</si>
  <si>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</si>
  <si>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</si>
  <si>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</si>
  <si>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</si>
  <si>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</si>
  <si>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</si>
  <si>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</si>
  <si>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</si>
  <si>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</si>
  <si>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</si>
  <si>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</si>
  <si>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</si>
  <si>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</si>
  <si>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</si>
  <si>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</si>
  <si>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</si>
  <si>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</si>
  <si>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</si>
  <si>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</si>
  <si>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</si>
  <si>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</si>
  <si>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</si>
  <si>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</si>
  <si>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</si>
  <si>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</si>
  <si>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</si>
  <si>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</si>
  <si>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</si>
  <si>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</si>
  <si>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</si>
  <si>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</si>
  <si>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</si>
  <si>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</si>
  <si>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</si>
  <si>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</si>
  <si>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</si>
  <si>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</si>
  <si>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</si>
  <si>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</si>
  <si>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</si>
  <si>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</si>
  <si>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</si>
  <si>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</si>
  <si>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</si>
  <si>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</si>
  <si>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</si>
  <si>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</si>
  <si>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</si>
  <si>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</si>
  <si>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</si>
  <si>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</si>
  <si>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</si>
  <si>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</si>
  <si>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</si>
  <si>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</si>
  <si>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</si>
  <si>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</si>
  <si>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</si>
  <si>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</si>
  <si>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</si>
  <si>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</si>
  <si>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</si>
  <si>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</si>
  <si>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</si>
  <si>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</si>
  <si>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</si>
  <si>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</si>
  <si>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</si>
  <si>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</si>
  <si>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</si>
  <si>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</si>
  <si>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</si>
  <si>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</si>
  <si>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</si>
  <si>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</si>
  <si>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</si>
  <si>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</si>
  <si>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</si>
  <si>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</si>
  <si>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</si>
  <si>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</si>
  <si>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</si>
  <si>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</si>
  <si>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</si>
  <si>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</si>
  <si>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</si>
  <si>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</si>
  <si>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</si>
  <si>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</si>
  <si>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</si>
  <si>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</si>
  <si>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</si>
  <si>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</si>
  <si>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</si>
  <si>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</si>
  <si>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</si>
  <si>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</si>
  <si>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</si>
  <si>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</si>
  <si>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</si>
  <si>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</si>
  <si>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</si>
  <si>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</si>
  <si>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</si>
  <si>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</si>
  <si>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</si>
  <si>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</si>
  <si>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</si>
  <si>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</si>
  <si>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</si>
  <si>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</si>
  <si>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</si>
  <si>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</si>
  <si>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</si>
  <si>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</si>
  <si>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</si>
  <si>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</si>
  <si>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</si>
  <si>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</si>
  <si>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</si>
  <si>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</si>
  <si>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</si>
  <si>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</si>
  <si>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</si>
  <si>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</si>
  <si>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</si>
  <si>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</si>
  <si>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</si>
  <si>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</si>
  <si>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</si>
  <si>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</si>
  <si>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</si>
  <si>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</si>
  <si>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</si>
  <si>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</si>
  <si>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</si>
  <si>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</si>
  <si>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</si>
  <si>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</si>
  <si>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</si>
  <si>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</si>
  <si>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</si>
  <si>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</si>
  <si>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</si>
  <si>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</si>
  <si>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</si>
  <si>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</si>
  <si>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</si>
  <si>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</si>
  <si>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</si>
  <si>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</si>
  <si>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</si>
  <si>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</si>
  <si>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</si>
  <si>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</si>
  <si>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</si>
  <si>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</si>
  <si>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</si>
  <si>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</si>
  <si>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</si>
  <si>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</si>
  <si>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</si>
  <si>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</si>
  <si>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</si>
  <si>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</si>
  <si>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</si>
  <si>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</si>
  <si>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</si>
  <si>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</si>
  <si>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</si>
  <si>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</si>
  <si>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</si>
  <si>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</si>
  <si>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</si>
  <si>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</si>
  <si>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</si>
  <si>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</si>
  <si>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</si>
  <si>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</si>
  <si>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</si>
  <si>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</si>
  <si>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</si>
  <si>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</si>
  <si>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</si>
  <si>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</si>
  <si>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</si>
  <si>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</si>
  <si>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</si>
  <si>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</si>
  <si>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</si>
  <si>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</si>
  <si>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</si>
  <si>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</si>
  <si>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</si>
  <si>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</si>
  <si>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</si>
  <si>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</si>
  <si>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</si>
  <si>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</si>
  <si>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</si>
  <si>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</si>
  <si>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</si>
  <si>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</si>
  <si>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</si>
  <si>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</si>
  <si>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</si>
  <si>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</si>
  <si>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</si>
  <si>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</si>
  <si>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</si>
  <si>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</si>
  <si>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</si>
  <si>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</si>
  <si>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</si>
  <si>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</si>
  <si>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</si>
  <si>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</si>
  <si>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</si>
  <si>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</si>
  <si>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</si>
  <si>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</si>
  <si>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</si>
  <si>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</si>
  <si>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</si>
  <si>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</si>
  <si>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</si>
  <si>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</si>
  <si>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</si>
  <si>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</si>
  <si>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</si>
  <si>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</si>
  <si>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</si>
  <si>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</si>
  <si>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</si>
  <si>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</si>
  <si>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</si>
  <si>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</si>
  <si>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</si>
  <si>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</si>
  <si>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</si>
  <si>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</si>
  <si>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</si>
  <si>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</si>
  <si>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</si>
  <si>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</si>
  <si>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</si>
  <si>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</si>
  <si>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</si>
  <si>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</si>
  <si>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</si>
  <si>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</si>
  <si>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</si>
  <si>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</si>
  <si>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</si>
  <si>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</si>
  <si>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</si>
  <si>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</si>
  <si>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</si>
  <si>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</si>
  <si>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</si>
  <si>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</si>
  <si>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</si>
  <si>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</si>
  <si>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</si>
  <si>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</si>
  <si>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</si>
  <si>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</si>
  <si>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</si>
  <si>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</si>
  <si>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</si>
  <si>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</si>
  <si>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</si>
  <si>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</si>
  <si>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</si>
  <si>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</si>
  <si>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</si>
  <si>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</si>
  <si>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</si>
  <si>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</si>
  <si>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</si>
  <si>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</si>
  <si>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</si>
  <si>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</si>
  <si>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</si>
  <si>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</si>
  <si>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</si>
  <si>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</si>
  <si>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</si>
  <si>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</si>
  <si>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</si>
  <si>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</si>
  <si>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</si>
  <si>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</si>
  <si>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</si>
  <si>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</si>
  <si>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</si>
  <si>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</si>
  <si>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</si>
  <si>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</si>
  <si>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</si>
  <si>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</si>
  <si>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</si>
  <si>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</si>
  <si>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</si>
  <si>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</si>
  <si>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</si>
  <si>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</si>
  <si>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</si>
  <si>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</si>
  <si>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</si>
  <si>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</si>
  <si>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</si>
  <si>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</si>
  <si>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</si>
  <si>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</si>
  <si>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</si>
  <si>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</si>
  <si>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</si>
  <si>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</si>
  <si>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</si>
  <si>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</si>
  <si>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</si>
  <si>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</si>
  <si>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</si>
  <si>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</si>
  <si>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</si>
  <si>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</si>
  <si>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</si>
  <si>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</si>
  <si>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</si>
  <si>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</si>
  <si>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</si>
  <si>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</si>
  <si>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</si>
  <si>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</si>
  <si>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</si>
  <si>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</si>
  <si>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</si>
  <si>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</si>
  <si>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</si>
  <si>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</si>
  <si>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</si>
  <si>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</si>
  <si>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</si>
  <si>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</si>
  <si>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</si>
  <si>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</si>
  <si>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</si>
  <si>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</si>
  <si>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</si>
  <si>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</si>
  <si>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</si>
  <si>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</si>
  <si>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</si>
  <si>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</si>
  <si>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</si>
  <si>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</si>
  <si>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</si>
  <si>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</si>
  <si>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</si>
  <si>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</si>
  <si>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</si>
  <si>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</si>
  <si>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</si>
  <si>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</si>
  <si>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</si>
  <si>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</si>
  <si>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</si>
  <si>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</si>
  <si>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</si>
  <si>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</si>
  <si>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</si>
  <si>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</si>
  <si>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</si>
  <si>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</si>
  <si>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</si>
  <si>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</si>
  <si>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</si>
  <si>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</si>
  <si>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</si>
  <si>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</si>
  <si>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</si>
  <si>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</si>
  <si>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</si>
  <si>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</si>
  <si>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</si>
  <si>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</si>
  <si>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</si>
  <si>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</si>
  <si>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</si>
  <si>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</si>
  <si>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</si>
  <si>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</si>
  <si>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</si>
  <si>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</si>
  <si>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</si>
  <si>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</si>
  <si>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</si>
  <si>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</si>
  <si>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</si>
  <si>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</si>
  <si>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</si>
  <si>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</si>
  <si>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</si>
  <si>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</si>
  <si>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</si>
  <si>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</si>
  <si>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</si>
  <si>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</si>
  <si>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</si>
  <si>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</si>
  <si>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</si>
  <si>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</si>
  <si>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</si>
  <si>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</si>
  <si>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</si>
  <si>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</si>
  <si>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</si>
  <si>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</si>
  <si>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</si>
  <si>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</si>
  <si>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</si>
  <si>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</si>
  <si>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</si>
  <si>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</si>
  <si>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</si>
  <si>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</si>
  <si>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</si>
  <si>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</si>
  <si>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</si>
  <si>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</si>
  <si>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</si>
  <si>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</si>
  <si>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</si>
  <si>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</si>
  <si>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</si>
  <si>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</si>
  <si>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</si>
  <si>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</si>
  <si>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</si>
  <si>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</si>
  <si>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</si>
  <si>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</si>
  <si>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</si>
  <si>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</si>
  <si>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</si>
  <si>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</si>
  <si>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</si>
  <si>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</si>
  <si>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</si>
  <si>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</si>
  <si>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</si>
  <si>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</si>
  <si>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</si>
  <si>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</si>
  <si>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</si>
  <si>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</si>
  <si>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</si>
  <si>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</si>
  <si>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</si>
  <si>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</si>
  <si>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</si>
  <si>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</si>
  <si>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</si>
  <si>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</si>
  <si>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</si>
  <si>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</si>
  <si>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</si>
  <si>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</si>
  <si>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</si>
  <si>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</si>
  <si>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</si>
  <si>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</si>
  <si>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</si>
  <si>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</si>
  <si>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</si>
  <si>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</si>
  <si>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</si>
  <si>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</si>
  <si>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</si>
  <si>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</si>
  <si>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</si>
  <si>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</si>
  <si>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</si>
  <si>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</si>
  <si>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</si>
  <si>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</si>
  <si>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</si>
  <si>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</si>
  <si>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</si>
  <si>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</si>
  <si>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</si>
  <si>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</si>
  <si>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</si>
  <si>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</si>
  <si>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</si>
  <si>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</si>
  <si>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</si>
  <si>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</si>
  <si>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</si>
  <si>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</si>
  <si>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</si>
  <si>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</si>
  <si>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</si>
  <si>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</si>
  <si>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</si>
  <si>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</si>
  <si>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</si>
  <si>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</si>
  <si>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</si>
  <si>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</si>
  <si>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</si>
  <si>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</si>
  <si>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</si>
  <si>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</si>
  <si>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</si>
  <si>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</si>
  <si>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</si>
  <si>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</si>
  <si>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</si>
  <si>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</si>
  <si>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</si>
  <si>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</si>
  <si>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</si>
  <si>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</si>
  <si>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</si>
  <si>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</si>
  <si>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</si>
  <si>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</si>
  <si>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</si>
  <si>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</si>
  <si>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</si>
  <si>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</si>
  <si>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</si>
  <si>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</si>
  <si>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</si>
  <si>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</si>
  <si>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</si>
  <si>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</si>
  <si>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</si>
  <si>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</si>
  <si>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</si>
  <si>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</si>
  <si>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</si>
  <si>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</si>
  <si>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</si>
  <si>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</si>
  <si>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</si>
  <si>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</si>
  <si>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</si>
  <si>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</si>
  <si>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</si>
  <si>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</si>
  <si>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</si>
  <si>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</si>
  <si>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</si>
  <si>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</si>
  <si>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</si>
  <si>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</si>
  <si>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</si>
  <si>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</si>
  <si>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</si>
  <si>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</si>
  <si>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</si>
  <si>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</si>
  <si>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</si>
  <si>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</si>
  <si>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</si>
  <si>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</si>
  <si>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</si>
  <si>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</si>
  <si>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</si>
  <si>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</si>
  <si>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</si>
  <si>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</si>
  <si>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</si>
  <si>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</si>
  <si>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</si>
  <si>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</si>
  <si>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</si>
  <si>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</si>
  <si>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</si>
  <si>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</si>
  <si>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</si>
  <si>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</si>
  <si>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</si>
  <si>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</si>
  <si>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</si>
  <si>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</si>
  <si>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</si>
  <si>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</si>
  <si>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</si>
  <si>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</si>
  <si>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</si>
  <si>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</si>
  <si>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</si>
  <si>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</si>
  <si>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</si>
  <si>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</si>
  <si>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</si>
  <si>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</si>
  <si>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</si>
  <si>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</si>
  <si>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</si>
  <si>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</si>
  <si>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</si>
  <si>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</si>
  <si>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</si>
  <si>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</si>
  <si>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</si>
  <si>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</si>
  <si>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</si>
  <si>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</si>
  <si>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</si>
  <si>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</si>
  <si>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</si>
  <si>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</si>
  <si>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</si>
  <si>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</si>
  <si>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</si>
  <si>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</si>
  <si>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</si>
  <si>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</si>
  <si>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</si>
  <si>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</si>
  <si>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</si>
  <si>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</si>
  <si>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</si>
  <si>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</si>
  <si>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</si>
  <si>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</si>
  <si>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</si>
  <si>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</si>
  <si>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</si>
  <si>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</si>
  <si>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</si>
  <si>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</si>
  <si>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</si>
  <si>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</si>
  <si>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</si>
  <si>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</si>
  <si>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</si>
  <si>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</si>
  <si>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</si>
  <si>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</si>
  <si>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</si>
  <si>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</si>
  <si>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</si>
  <si>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</si>
  <si>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</si>
  <si>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</si>
  <si>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</si>
  <si>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</si>
  <si>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</si>
  <si>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</si>
  <si>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</si>
  <si>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</si>
  <si>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</si>
  <si>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</si>
  <si>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</si>
  <si>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</si>
  <si>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</si>
  <si>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</si>
  <si>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</si>
  <si>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</si>
  <si>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</si>
  <si>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</si>
  <si>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</si>
  <si>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</si>
  <si>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</si>
  <si>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</si>
  <si>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</si>
  <si>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</si>
  <si>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</si>
  <si>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</si>
  <si>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</si>
  <si>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</si>
  <si>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</si>
  <si>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</si>
  <si>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</si>
  <si>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</si>
  <si>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</si>
  <si>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</si>
  <si>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</si>
  <si>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</si>
  <si>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</si>
  <si>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</si>
  <si>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</si>
  <si>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</si>
  <si>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</si>
  <si>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</si>
  <si>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</si>
  <si>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</si>
  <si>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</si>
  <si>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</si>
  <si>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</si>
  <si>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</si>
  <si>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</si>
  <si>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</si>
  <si>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</si>
  <si>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</si>
  <si>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</si>
  <si>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</si>
  <si>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</si>
  <si>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</si>
  <si>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</si>
  <si>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</si>
  <si>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</si>
  <si>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</si>
  <si>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</si>
  <si>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</si>
  <si>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</si>
  <si>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</si>
  <si>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</si>
  <si>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</si>
  <si>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</si>
  <si>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</si>
  <si>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</si>
  <si>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</si>
  <si>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</si>
  <si>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</si>
  <si>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</si>
  <si>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</si>
  <si>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</si>
  <si>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</si>
  <si>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</si>
  <si>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</si>
  <si>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</si>
  <si>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</si>
  <si>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</si>
  <si>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</si>
  <si>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</si>
  <si>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</si>
  <si>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</si>
  <si>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</si>
  <si>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</si>
  <si>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</si>
  <si>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</si>
  <si>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</si>
  <si>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</si>
  <si>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</si>
  <si>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</si>
  <si>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</si>
  <si>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</si>
  <si>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</si>
  <si>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</si>
  <si>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</si>
  <si>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</si>
  <si>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</si>
  <si>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</si>
  <si>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</si>
  <si>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</si>
  <si>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</si>
  <si>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</si>
  <si>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</si>
  <si>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</si>
  <si>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</si>
  <si>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</si>
  <si>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</si>
  <si>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</si>
  <si>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</si>
  <si>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</si>
  <si>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</si>
  <si>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</si>
  <si>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</si>
  <si>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</si>
  <si>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</si>
  <si>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</si>
  <si>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</si>
  <si>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</si>
  <si>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</si>
  <si>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</si>
  <si>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</si>
  <si>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</si>
  <si>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</si>
  <si>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</si>
  <si>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</si>
  <si>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</si>
  <si>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</si>
  <si>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</si>
  <si>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</si>
  <si>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</si>
  <si>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</si>
  <si>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</si>
  <si>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</si>
  <si>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</si>
  <si>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</si>
  <si>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</si>
  <si>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</si>
  <si>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</si>
  <si>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</si>
  <si>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</si>
  <si>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</si>
  <si>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</si>
  <si>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</si>
  <si>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</si>
  <si>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</si>
  <si>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</si>
  <si>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</si>
  <si>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</si>
  <si>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</si>
  <si>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</si>
  <si>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</si>
  <si>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</si>
  <si>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</si>
  <si>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</si>
  <si>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</si>
  <si>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</si>
  <si>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</si>
  <si>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</si>
  <si>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</si>
  <si>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</si>
  <si>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</si>
  <si>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</si>
  <si>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</si>
  <si>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</si>
  <si>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</si>
  <si>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</si>
  <si>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</si>
  <si>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</si>
  <si>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</si>
  <si>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</si>
  <si>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</si>
  <si>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</si>
  <si>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</si>
  <si>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</si>
  <si>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</si>
  <si>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</si>
  <si>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</si>
  <si>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</si>
  <si>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</si>
  <si>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</si>
  <si>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</si>
  <si>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</si>
  <si>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</si>
  <si>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</si>
  <si>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</si>
  <si>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</si>
  <si>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</si>
  <si>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</si>
  <si>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</si>
  <si>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</si>
  <si>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</si>
  <si>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</si>
  <si>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</si>
  <si>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</si>
  <si>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</si>
  <si>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</si>
  <si>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</si>
  <si>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</si>
  <si>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</si>
  <si>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</si>
  <si>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</si>
  <si>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</si>
  <si>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</si>
  <si>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</si>
  <si>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</si>
  <si>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</si>
  <si>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</si>
  <si>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</si>
  <si>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</si>
  <si>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</si>
  <si>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</si>
  <si>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</si>
  <si>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</si>
  <si>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</si>
  <si>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</si>
  <si>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</si>
  <si>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</si>
  <si>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</si>
  <si>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</si>
  <si>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</si>
  <si>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</si>
  <si>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</si>
  <si>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</si>
  <si>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</si>
  <si>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</si>
  <si>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</si>
  <si>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</si>
  <si>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</si>
  <si>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</si>
  <si>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</si>
  <si>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</si>
  <si>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</si>
  <si>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</si>
  <si>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</si>
  <si>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</si>
  <si>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</si>
  <si>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</si>
  <si>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</si>
  <si>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</si>
  <si>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</si>
  <si>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</si>
  <si>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</si>
  <si>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</si>
  <si>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</si>
  <si>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</si>
  <si>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</si>
  <si>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</si>
  <si>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</si>
  <si>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</si>
  <si>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</si>
  <si>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</si>
  <si>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</si>
  <si>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</si>
  <si>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</si>
  <si>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</si>
  <si>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</si>
  <si>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</si>
  <si>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</si>
  <si>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</si>
  <si>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</si>
  <si>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</si>
  <si>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</si>
  <si>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</si>
  <si>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</si>
  <si>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</si>
  <si>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</si>
  <si>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</si>
  <si>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</si>
  <si>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</si>
  <si>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</si>
  <si>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</si>
  <si>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</si>
  <si>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</si>
  <si>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</si>
  <si>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</si>
  <si>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</si>
  <si>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</si>
  <si>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</si>
  <si>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</si>
  <si>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</si>
  <si>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</si>
  <si>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</si>
  <si>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</si>
  <si>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</si>
  <si>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</si>
  <si>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</si>
  <si>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</si>
  <si>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</si>
  <si>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</si>
  <si>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</si>
  <si>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</si>
  <si>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</si>
  <si>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</si>
  <si>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</si>
  <si>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</si>
  <si>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</si>
  <si>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</si>
  <si>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</si>
  <si>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</si>
  <si>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</si>
  <si>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</si>
  <si>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</si>
  <si>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</si>
  <si>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</si>
  <si>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</si>
  <si>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</si>
  <si>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</si>
  <si>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</si>
  <si>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</si>
  <si>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</si>
  <si>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</si>
  <si>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</si>
  <si>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</si>
  <si>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</si>
  <si>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</si>
  <si>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</si>
  <si>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</si>
  <si>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</si>
  <si>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</si>
  <si>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</si>
  <si>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</si>
  <si>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</si>
  <si>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</si>
  <si>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</si>
  <si>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</si>
  <si>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</si>
  <si>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</si>
  <si>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</si>
  <si>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</si>
  <si>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</si>
  <si>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</si>
  <si>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</si>
  <si>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</si>
  <si>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</si>
  <si>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</si>
  <si>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</si>
  <si>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</si>
  <si>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</si>
  <si>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</si>
  <si>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</si>
  <si>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</si>
  <si>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</si>
  <si>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</si>
  <si>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</si>
  <si>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</si>
  <si>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</si>
  <si>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</si>
  <si>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</si>
  <si>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</si>
  <si>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</si>
  <si>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</si>
  <si>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</si>
  <si>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</si>
  <si>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</si>
  <si>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</si>
  <si>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</si>
  <si>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</si>
  <si>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</si>
  <si>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</si>
  <si>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</si>
  <si>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</si>
  <si>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</si>
  <si>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</si>
  <si>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</si>
  <si>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</si>
  <si>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</si>
  <si>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</si>
  <si>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</si>
  <si>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</si>
  <si>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</si>
  <si>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</si>
  <si>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</si>
  <si>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</si>
  <si>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</si>
  <si>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</si>
  <si>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</si>
  <si>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</si>
  <si>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</si>
  <si>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</si>
  <si>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</si>
  <si>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</si>
  <si>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</si>
  <si>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</si>
  <si>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</si>
  <si>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</si>
  <si>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</si>
  <si>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</si>
  <si>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</si>
  <si>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</si>
  <si>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</si>
  <si>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</si>
  <si>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</si>
  <si>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</si>
  <si>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</si>
  <si>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</si>
  <si>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</si>
  <si>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</si>
  <si>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</si>
  <si>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</si>
  <si>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</si>
  <si>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</si>
  <si>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</si>
  <si>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</si>
  <si>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</si>
  <si>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</si>
  <si>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</si>
  <si>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</si>
  <si>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</si>
  <si>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</si>
  <si>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</si>
  <si>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</si>
  <si>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</si>
  <si>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</si>
  <si>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</si>
  <si>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</si>
  <si>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</si>
  <si>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</si>
  <si>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</si>
  <si>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</si>
  <si>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</si>
  <si>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</si>
  <si>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</si>
  <si>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</si>
  <si>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</si>
  <si>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</si>
  <si>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</si>
  <si>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</si>
  <si>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</si>
  <si>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</si>
  <si>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</si>
  <si>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</si>
  <si>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</si>
  <si>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</si>
  <si>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</si>
  <si>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</si>
  <si>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</si>
  <si>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</si>
  <si>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</si>
  <si>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</si>
  <si>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</si>
  <si>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</si>
  <si>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</si>
  <si>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</si>
  <si>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</si>
  <si>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</si>
  <si>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</si>
  <si>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</si>
  <si>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</si>
  <si>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</si>
  <si>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</si>
  <si>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</si>
  <si>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</si>
  <si>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</si>
  <si>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</si>
  <si>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</si>
  <si>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</si>
  <si>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</si>
  <si>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</si>
  <si>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</si>
  <si>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</si>
  <si>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</si>
  <si>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</si>
  <si>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</si>
  <si>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</si>
  <si>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</si>
  <si>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</si>
  <si>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</si>
  <si>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</si>
  <si>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</si>
  <si>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</si>
  <si>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</si>
  <si>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</si>
  <si>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</si>
  <si>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</si>
  <si>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</si>
  <si>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</si>
  <si>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</si>
  <si>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</si>
  <si>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</si>
  <si>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</si>
  <si>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</si>
  <si>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</si>
  <si>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</si>
  <si>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</si>
  <si>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</si>
  <si>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</si>
  <si>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</si>
  <si>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</si>
  <si>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</si>
  <si>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</si>
  <si>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</si>
  <si>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</si>
  <si>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</si>
  <si>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</si>
  <si>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</si>
  <si>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</si>
  <si>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</si>
  <si>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</si>
  <si>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</si>
  <si>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</si>
  <si>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</si>
  <si>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</si>
  <si>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</si>
  <si>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</si>
  <si>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</si>
  <si>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</si>
  <si>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</si>
  <si>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</si>
  <si>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</si>
  <si>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</si>
  <si>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</si>
  <si>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</si>
  <si>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</si>
  <si>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</si>
  <si>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</si>
  <si>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</si>
  <si>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</si>
  <si>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</si>
  <si>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</si>
  <si>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</si>
  <si>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</si>
  <si>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</si>
  <si>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</si>
  <si>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</si>
  <si>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</si>
  <si>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</si>
  <si>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</si>
  <si>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</si>
  <si>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</si>
  <si>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</si>
  <si>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</si>
  <si>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</si>
  <si>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</si>
  <si>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</si>
  <si>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</si>
  <si>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</si>
  <si>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</si>
  <si>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</si>
  <si>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</si>
  <si>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</si>
  <si>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</si>
  <si>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</si>
  <si>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</si>
  <si>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</si>
  <si>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</si>
  <si>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</si>
  <si>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</si>
  <si>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</si>
  <si>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</si>
  <si>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</si>
  <si>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</si>
  <si>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</si>
  <si>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</si>
  <si>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</si>
  <si>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</si>
  <si>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</si>
  <si>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</si>
  <si>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</si>
  <si>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</si>
  <si>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</si>
  <si>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</si>
  <si>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</si>
  <si>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</si>
  <si>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</si>
  <si>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</si>
  <si>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</si>
  <si>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</si>
  <si>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</si>
  <si>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</si>
  <si>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</si>
  <si>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</si>
  <si>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</si>
  <si>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</si>
  <si>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</si>
  <si>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</si>
  <si>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</si>
  <si>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</si>
  <si>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</si>
  <si>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</si>
  <si>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</si>
  <si>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</si>
  <si>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</si>
  <si>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</si>
  <si>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</si>
  <si>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</si>
  <si>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</si>
  <si>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</si>
  <si>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</si>
  <si>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</si>
  <si>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</si>
  <si>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</si>
  <si>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</si>
  <si>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</si>
  <si>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</si>
  <si>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</si>
  <si>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</si>
  <si>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</si>
  <si>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</si>
  <si>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</si>
  <si>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</si>
  <si>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</si>
  <si>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</si>
  <si>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</si>
  <si>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</si>
  <si>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</si>
  <si>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</si>
  <si>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</si>
  <si>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</si>
  <si>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</si>
  <si>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</si>
  <si>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</si>
  <si>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</si>
  <si>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</si>
  <si>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</si>
  <si>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</si>
  <si>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</si>
  <si>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</si>
  <si>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</si>
  <si>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</si>
  <si>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</si>
  <si>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</si>
  <si>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</si>
  <si>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</si>
  <si>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</si>
  <si>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</si>
  <si>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</si>
  <si>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</si>
  <si>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</si>
  <si>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</si>
  <si>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</si>
  <si>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</si>
  <si>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</si>
  <si>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</si>
  <si>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</si>
  <si>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</si>
  <si>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</si>
  <si>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</si>
  <si>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</si>
  <si>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</si>
  <si>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</si>
  <si>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</si>
  <si>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</si>
  <si>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</si>
  <si>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</si>
  <si>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</si>
  <si>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</si>
  <si>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</si>
  <si>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</si>
  <si>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</si>
  <si>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</si>
  <si>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</si>
  <si>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</si>
  <si>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</si>
  <si>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</si>
  <si>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</si>
  <si>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</si>
  <si>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</si>
  <si>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</si>
  <si>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</si>
  <si>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</si>
  <si>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</si>
  <si>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</si>
  <si>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</si>
  <si>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</si>
  <si>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</si>
  <si>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</si>
  <si>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</si>
  <si>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</si>
  <si>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</si>
  <si>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</si>
  <si>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</si>
  <si>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</si>
  <si>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</si>
  <si>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</si>
  <si>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</si>
  <si>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</si>
  <si>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</si>
  <si>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</si>
  <si>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</si>
  <si>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</si>
  <si>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</si>
  <si>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</si>
  <si>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</si>
  <si>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</si>
  <si>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</si>
  <si>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</si>
  <si>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</si>
  <si>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</si>
  <si>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</si>
  <si>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</si>
  <si>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</si>
  <si>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</si>
  <si>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</si>
  <si>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0292-2020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</si>
  <si>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</si>
  <si>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</si>
  <si>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</si>
  <si>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</si>
  <si>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</si>
  <si>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</si>
  <si>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</si>
  <si>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</si>
  <si>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</si>
  <si>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</si>
  <si>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</si>
  <si>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0305-2020</t>
  </si>
  <si>
    <t xml:space="preserve"> 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</si>
  <si>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</si>
  <si>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2021-13-10000323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</si>
</sst>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4" zoomScale="70" zoomScaleNormal="70" zoomScaleSheetLayoutView="40" zoomScalePageLayoutView="40" workbookViewId="0">
      <selection activeCell="H28" sqref="H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2" t="str">
        <f>HYPERLINK("#MI_Oferente_Singular!A114","CAPACIDAD RESIDUAL")</f>
        <v>CAPACIDAD RESIDUAL</v>
      </c>
      <c r="F8" s="243"/>
      <c r="G8" s="24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2" t="str">
        <f>HYPERLINK("#MI_Oferente_Singular!A162","TALENTO HUMANO")</f>
        <v>TALENTO HUMANO</v>
      </c>
      <c r="F9" s="243"/>
      <c r="G9" s="24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2" t="str">
        <f>HYPERLINK("#MI_Oferente_Singular!F162","INFRAESTRUCTURA")</f>
        <v>INFRAESTRUCTURA</v>
      </c>
      <c r="F10" s="243"/>
      <c r="G10" s="24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2697</v>
      </c>
      <c r="D15" s="35"/>
      <c r="E15" s="35"/>
      <c r="F15" s="5"/>
      <c r="G15" s="32" t="s">
        <v>1168</v>
      </c>
      <c r="H15" s="103" t="s">
        <v>208</v>
      </c>
      <c r="I15" s="32" t="s">
        <v>2624</v>
      </c>
      <c r="J15" s="108" t="s">
        <v>2626</v>
      </c>
      <c r="L15" s="226" t="s">
        <v>8</v>
      </c>
      <c r="M15" s="22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7" t="s">
        <v>11</v>
      </c>
      <c r="J19" s="138" t="s">
        <v>10</v>
      </c>
      <c r="K19" s="138" t="s">
        <v>2609</v>
      </c>
      <c r="L19" s="138" t="s">
        <v>1161</v>
      </c>
      <c r="M19" s="138" t="s">
        <v>1162</v>
      </c>
      <c r="N19" s="139" t="s">
        <v>2610</v>
      </c>
      <c r="O19" s="134"/>
      <c r="Q19" s="51"/>
      <c r="R19" s="51"/>
    </row>
    <row r="20" spans="1:23" ht="30" customHeight="1" x14ac:dyDescent="0.25">
      <c r="A20" s="9"/>
      <c r="B20" s="109">
        <v>900457831</v>
      </c>
      <c r="C20" s="5"/>
      <c r="D20" s="73"/>
      <c r="E20" s="5"/>
      <c r="F20" s="5"/>
      <c r="G20" s="5"/>
      <c r="H20" s="245"/>
      <c r="I20" s="146" t="s">
        <v>208</v>
      </c>
      <c r="J20" s="147" t="s">
        <v>231</v>
      </c>
      <c r="K20" s="148">
        <v>3413645365</v>
      </c>
      <c r="L20" s="149">
        <v>44194</v>
      </c>
      <c r="M20" s="149">
        <v>44561</v>
      </c>
      <c r="N20" s="132">
        <f>+(M20-L20)/30</f>
        <v>12.233333333333333</v>
      </c>
      <c r="O20" s="135"/>
      <c r="U20" s="131"/>
      <c r="V20" s="105">
        <f ca="1">NOW()</f>
        <v>44188.395683101851</v>
      </c>
      <c r="W20" s="105">
        <f ca="1">NOW()</f>
        <v>44188.395683101851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6"/>
      <c r="I37" s="127"/>
      <c r="J37" s="127"/>
      <c r="K37" s="127"/>
      <c r="L37" s="127"/>
      <c r="M37" s="127"/>
      <c r="N37" s="127"/>
      <c r="O37" s="128"/>
    </row>
    <row r="38" spans="1:16" ht="21" customHeight="1" x14ac:dyDescent="0.25">
      <c r="A38" s="9"/>
      <c r="B38" s="240" t="str">
        <f>VLOOKUP(B20,EAS!A2:B1439,2,0)</f>
        <v>CORPORACION PIEDRALIPE CORPOPIEDRALIPE</v>
      </c>
      <c r="C38" s="240"/>
      <c r="D38" s="240"/>
      <c r="E38" s="240"/>
      <c r="F38" s="240"/>
      <c r="G38" s="5"/>
      <c r="H38" s="129"/>
      <c r="I38" s="249" t="s">
        <v>7</v>
      </c>
      <c r="J38" s="249"/>
      <c r="K38" s="249"/>
      <c r="L38" s="249"/>
      <c r="M38" s="249"/>
      <c r="N38" s="249"/>
      <c r="O38" s="130"/>
    </row>
    <row r="39" spans="1:16" ht="42.95" customHeight="1" thickBot="1" x14ac:dyDescent="0.3">
      <c r="A39" s="10"/>
      <c r="B39" s="11"/>
      <c r="C39" s="11"/>
      <c r="D39" s="11"/>
      <c r="E39" s="11"/>
      <c r="F39" s="11"/>
      <c r="G39" s="11"/>
      <c r="H39" s="10"/>
      <c r="I39" s="235" t="s">
        <v>2696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2682</v>
      </c>
      <c r="E48" s="142">
        <v>43922</v>
      </c>
      <c r="F48" s="142">
        <v>44165</v>
      </c>
      <c r="G48" s="157">
        <f>IF(AND(E48&lt;&gt;"",F48&lt;&gt;""),((F48-E48)/30),"")</f>
        <v>8.1</v>
      </c>
      <c r="H48" s="114" t="s">
        <v>2683</v>
      </c>
      <c r="I48" s="113" t="s">
        <v>208</v>
      </c>
      <c r="J48" s="113" t="s">
        <v>210</v>
      </c>
      <c r="K48" s="121">
        <v>1959078775</v>
      </c>
      <c r="L48" s="115" t="s">
        <v>1148</v>
      </c>
      <c r="M48" s="117">
        <v>1</v>
      </c>
      <c r="N48" s="115" t="s">
        <v>2634</v>
      </c>
      <c r="O48" s="115" t="s">
        <v>1148</v>
      </c>
      <c r="P48" s="78"/>
    </row>
    <row r="49" spans="1:16" s="6" customFormat="1" ht="24.75" customHeight="1" x14ac:dyDescent="0.25">
      <c r="A49" s="140">
        <v>2</v>
      </c>
      <c r="B49" s="177" t="s">
        <v>2665</v>
      </c>
      <c r="C49" s="112" t="s">
        <v>31</v>
      </c>
      <c r="D49" s="110" t="s">
        <v>2694</v>
      </c>
      <c r="E49" s="142">
        <v>43922</v>
      </c>
      <c r="F49" s="142">
        <v>44165</v>
      </c>
      <c r="G49" s="157">
        <f t="shared" ref="G49:G50" si="2">IF(AND(E49&lt;&gt;"",F49&lt;&gt;""),((F49-E49)/30),"")</f>
        <v>8.1</v>
      </c>
      <c r="H49" s="177" t="s">
        <v>2695</v>
      </c>
      <c r="I49" s="113" t="s">
        <v>208</v>
      </c>
      <c r="J49" s="113" t="s">
        <v>222</v>
      </c>
      <c r="K49" s="116">
        <v>2323461633</v>
      </c>
      <c r="L49" s="115" t="s">
        <v>1148</v>
      </c>
      <c r="M49" s="117">
        <v>1</v>
      </c>
      <c r="N49" s="115" t="s">
        <v>2634</v>
      </c>
      <c r="O49" s="115" t="s">
        <v>1148</v>
      </c>
      <c r="P49" s="78"/>
    </row>
    <row r="50" spans="1:16" s="6" customFormat="1" ht="24.75" customHeight="1" x14ac:dyDescent="0.25">
      <c r="A50" s="140">
        <v>3</v>
      </c>
      <c r="B50" s="177" t="s">
        <v>2665</v>
      </c>
      <c r="C50" s="122" t="s">
        <v>31</v>
      </c>
      <c r="D50" s="176" t="s">
        <v>2694</v>
      </c>
      <c r="E50" s="142">
        <v>43922</v>
      </c>
      <c r="F50" s="142">
        <v>44165</v>
      </c>
      <c r="G50" s="157">
        <f t="shared" si="2"/>
        <v>8.1</v>
      </c>
      <c r="H50" s="177" t="s">
        <v>2695</v>
      </c>
      <c r="I50" s="113" t="s">
        <v>208</v>
      </c>
      <c r="J50" s="113" t="s">
        <v>239</v>
      </c>
      <c r="K50" s="121">
        <v>2323461633</v>
      </c>
      <c r="L50" s="122" t="s">
        <v>1148</v>
      </c>
      <c r="M50" s="117">
        <v>1</v>
      </c>
      <c r="N50" s="122" t="s">
        <v>2634</v>
      </c>
      <c r="O50" s="122" t="s">
        <v>1148</v>
      </c>
      <c r="P50" s="78"/>
    </row>
    <row r="51" spans="1:16" s="6" customFormat="1" ht="24.75" customHeight="1" outlineLevel="1" x14ac:dyDescent="0.25">
      <c r="A51" s="140">
        <v>4</v>
      </c>
      <c r="B51" s="177" t="s">
        <v>2665</v>
      </c>
      <c r="C51" s="122" t="s">
        <v>31</v>
      </c>
      <c r="D51" s="176" t="s">
        <v>2694</v>
      </c>
      <c r="E51" s="142">
        <v>43922</v>
      </c>
      <c r="F51" s="142">
        <v>44165</v>
      </c>
      <c r="G51" s="157">
        <f t="shared" ref="G51:G107" si="3">IF(AND(E51&lt;&gt;"",F51&lt;&gt;""),((F51-E51)/30),"")</f>
        <v>8.1</v>
      </c>
      <c r="H51" s="177" t="s">
        <v>2695</v>
      </c>
      <c r="I51" s="113" t="s">
        <v>208</v>
      </c>
      <c r="J51" s="113" t="s">
        <v>254</v>
      </c>
      <c r="K51" s="121">
        <v>2323461633</v>
      </c>
      <c r="L51" s="122" t="s">
        <v>1148</v>
      </c>
      <c r="M51" s="117">
        <v>1</v>
      </c>
      <c r="N51" s="122" t="s">
        <v>2634</v>
      </c>
      <c r="O51" s="122" t="s">
        <v>1148</v>
      </c>
      <c r="P51" s="78"/>
    </row>
    <row r="52" spans="1:16" s="7" customFormat="1" ht="24.75" customHeight="1" outlineLevel="1" x14ac:dyDescent="0.25">
      <c r="A52" s="141">
        <v>5</v>
      </c>
      <c r="B52" s="177" t="s">
        <v>2665</v>
      </c>
      <c r="C52" s="122" t="s">
        <v>31</v>
      </c>
      <c r="D52" s="176" t="s">
        <v>2694</v>
      </c>
      <c r="E52" s="142">
        <v>43922</v>
      </c>
      <c r="F52" s="142">
        <v>44165</v>
      </c>
      <c r="G52" s="157">
        <f t="shared" si="3"/>
        <v>8.1</v>
      </c>
      <c r="H52" s="177" t="s">
        <v>2695</v>
      </c>
      <c r="I52" s="113" t="s">
        <v>208</v>
      </c>
      <c r="J52" s="113" t="s">
        <v>220</v>
      </c>
      <c r="K52" s="121">
        <v>2323461633</v>
      </c>
      <c r="L52" s="122" t="s">
        <v>1148</v>
      </c>
      <c r="M52" s="117">
        <v>1</v>
      </c>
      <c r="N52" s="122" t="s">
        <v>2634</v>
      </c>
      <c r="O52" s="122" t="s">
        <v>1148</v>
      </c>
      <c r="P52" s="79"/>
    </row>
    <row r="53" spans="1:16" s="7" customFormat="1" ht="24.75" customHeight="1" outlineLevel="1" x14ac:dyDescent="0.25">
      <c r="A53" s="141">
        <v>6</v>
      </c>
      <c r="B53" s="177" t="s">
        <v>2665</v>
      </c>
      <c r="C53" s="122" t="s">
        <v>31</v>
      </c>
      <c r="D53" s="176" t="s">
        <v>2694</v>
      </c>
      <c r="E53" s="142">
        <v>43922</v>
      </c>
      <c r="F53" s="142">
        <v>44165</v>
      </c>
      <c r="G53" s="157">
        <f t="shared" si="3"/>
        <v>8.1</v>
      </c>
      <c r="H53" s="177" t="s">
        <v>2695</v>
      </c>
      <c r="I53" s="113" t="s">
        <v>208</v>
      </c>
      <c r="J53" s="113" t="s">
        <v>223</v>
      </c>
      <c r="K53" s="121">
        <v>2323461633</v>
      </c>
      <c r="L53" s="122" t="s">
        <v>1148</v>
      </c>
      <c r="M53" s="117">
        <v>1</v>
      </c>
      <c r="N53" s="122" t="s">
        <v>2634</v>
      </c>
      <c r="O53" s="122" t="s">
        <v>1148</v>
      </c>
      <c r="P53" s="79"/>
    </row>
    <row r="54" spans="1:16" s="7" customFormat="1" ht="24.75" customHeight="1" outlineLevel="1" x14ac:dyDescent="0.25">
      <c r="A54" s="141">
        <v>7</v>
      </c>
      <c r="B54" s="177" t="s">
        <v>2665</v>
      </c>
      <c r="C54" s="122" t="s">
        <v>31</v>
      </c>
      <c r="D54" s="110" t="s">
        <v>2690</v>
      </c>
      <c r="E54" s="142">
        <v>43885</v>
      </c>
      <c r="F54" s="142">
        <v>44196</v>
      </c>
      <c r="G54" s="157">
        <f t="shared" si="3"/>
        <v>10.366666666666667</v>
      </c>
      <c r="H54" s="177" t="s">
        <v>2691</v>
      </c>
      <c r="I54" s="113" t="s">
        <v>208</v>
      </c>
      <c r="J54" s="113" t="s">
        <v>241</v>
      </c>
      <c r="K54" s="118">
        <v>2045167157</v>
      </c>
      <c r="L54" s="122" t="s">
        <v>1148</v>
      </c>
      <c r="M54" s="117">
        <v>1</v>
      </c>
      <c r="N54" s="122" t="s">
        <v>1151</v>
      </c>
      <c r="O54" s="122" t="s">
        <v>1148</v>
      </c>
      <c r="P54" s="79"/>
    </row>
    <row r="55" spans="1:16" s="7" customFormat="1" ht="24.75" customHeight="1" outlineLevel="1" x14ac:dyDescent="0.25">
      <c r="A55" s="141">
        <v>8</v>
      </c>
      <c r="B55" s="177" t="s">
        <v>2665</v>
      </c>
      <c r="C55" s="122" t="s">
        <v>31</v>
      </c>
      <c r="D55" s="176" t="s">
        <v>2690</v>
      </c>
      <c r="E55" s="142">
        <v>43885</v>
      </c>
      <c r="F55" s="142">
        <v>44196</v>
      </c>
      <c r="G55" s="157">
        <f t="shared" si="3"/>
        <v>10.366666666666667</v>
      </c>
      <c r="H55" s="177" t="s">
        <v>2691</v>
      </c>
      <c r="I55" s="176" t="s">
        <v>208</v>
      </c>
      <c r="J55" s="113" t="s">
        <v>223</v>
      </c>
      <c r="K55" s="118">
        <v>2045167157</v>
      </c>
      <c r="L55" s="122" t="s">
        <v>1148</v>
      </c>
      <c r="M55" s="117">
        <v>1</v>
      </c>
      <c r="N55" s="122" t="s">
        <v>1151</v>
      </c>
      <c r="O55" s="122" t="s">
        <v>1148</v>
      </c>
      <c r="P55" s="79"/>
    </row>
    <row r="56" spans="1:16" s="7" customFormat="1" ht="24.75" customHeight="1" outlineLevel="1" x14ac:dyDescent="0.25">
      <c r="A56" s="141">
        <v>9</v>
      </c>
      <c r="B56" s="111"/>
      <c r="C56" s="112"/>
      <c r="D56" s="110"/>
      <c r="E56" s="142"/>
      <c r="F56" s="142"/>
      <c r="G56" s="157"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74" t="s">
        <v>2684</v>
      </c>
      <c r="E114" s="175">
        <v>44172</v>
      </c>
      <c r="F114" s="175">
        <v>44773</v>
      </c>
      <c r="G114" s="157">
        <f>IF(AND(E114&lt;&gt;"",F114&lt;&gt;""),((F114-E114)/30),"")</f>
        <v>20.033333333333335</v>
      </c>
      <c r="H114" s="177" t="s">
        <v>2685</v>
      </c>
      <c r="I114" s="119" t="s">
        <v>208</v>
      </c>
      <c r="J114" s="119" t="s">
        <v>210</v>
      </c>
      <c r="K114" s="178">
        <v>4688873643</v>
      </c>
      <c r="L114" s="100">
        <f>+IF(AND(K114&gt;0,O114="Ejecución"),(K114/877802)*Tabla28[[#This Row],[% participación]],IF(AND(K114&gt;0,O114&lt;&gt;"Ejecución"),"-",""))</f>
        <v>5341.6073818469313</v>
      </c>
      <c r="M114" s="122" t="s">
        <v>1148</v>
      </c>
      <c r="N114" s="170">
        <f t="shared" ref="N114:N117" si="4">+IF(M114="No",1,IF(M114="Si","Ingrese %",""))</f>
        <v>1</v>
      </c>
      <c r="O114" s="159" t="s">
        <v>1150</v>
      </c>
      <c r="P114" s="78"/>
    </row>
    <row r="115" spans="1:16" s="6" customFormat="1" ht="24.75" customHeight="1" x14ac:dyDescent="0.25">
      <c r="A115" s="140">
        <v>2</v>
      </c>
      <c r="B115" s="158" t="s">
        <v>2665</v>
      </c>
      <c r="C115" s="160" t="s">
        <v>31</v>
      </c>
      <c r="D115" s="63" t="s">
        <v>2687</v>
      </c>
      <c r="E115" s="142">
        <v>44172</v>
      </c>
      <c r="F115" s="142">
        <v>44773</v>
      </c>
      <c r="G115" s="157">
        <f t="shared" ref="G115:G116" si="5">IF(AND(E115&lt;&gt;"",F115&lt;&gt;""),((F115-E115)/30),"")</f>
        <v>20.033333333333335</v>
      </c>
      <c r="H115" s="64" t="s">
        <v>2686</v>
      </c>
      <c r="I115" s="63" t="s">
        <v>208</v>
      </c>
      <c r="J115" s="63" t="s">
        <v>222</v>
      </c>
      <c r="K115" s="178">
        <v>5728990546</v>
      </c>
      <c r="L115" s="100">
        <f>+IF(AND(K115&gt;0,O115="Ejecución"),(K115/877802)*Tabla28[[#This Row],[% participación]],IF(AND(K115&gt;0,O115&lt;&gt;"Ejecución"),"-",""))</f>
        <v>6526.5179915288418</v>
      </c>
      <c r="M115" s="65" t="s">
        <v>1148</v>
      </c>
      <c r="N115" s="170">
        <f t="shared" si="4"/>
        <v>1</v>
      </c>
      <c r="O115" s="159" t="s">
        <v>1150</v>
      </c>
      <c r="P115" s="78"/>
    </row>
    <row r="116" spans="1:16" s="6" customFormat="1" ht="24.75" customHeight="1" x14ac:dyDescent="0.25">
      <c r="A116" s="140">
        <v>3</v>
      </c>
      <c r="B116" s="158" t="s">
        <v>2665</v>
      </c>
      <c r="C116" s="160" t="s">
        <v>31</v>
      </c>
      <c r="D116" s="176" t="s">
        <v>2688</v>
      </c>
      <c r="E116" s="142">
        <v>43885</v>
      </c>
      <c r="F116" s="142">
        <v>44196</v>
      </c>
      <c r="G116" s="157">
        <f t="shared" si="5"/>
        <v>10.366666666666667</v>
      </c>
      <c r="H116" s="177" t="s">
        <v>2689</v>
      </c>
      <c r="I116" s="63" t="s">
        <v>711</v>
      </c>
      <c r="J116" s="63" t="s">
        <v>717</v>
      </c>
      <c r="K116" s="178">
        <v>1859126940</v>
      </c>
      <c r="L116" s="100">
        <f>+IF(AND(K116&gt;0,O116="Ejecución"),(K116/877802)*Tabla28[[#This Row],[% participación]],IF(AND(K116&gt;0,O116&lt;&gt;"Ejecución"),"-",""))</f>
        <v>2117.9342721935013</v>
      </c>
      <c r="M116" s="65" t="s">
        <v>1148</v>
      </c>
      <c r="N116" s="170">
        <f t="shared" si="4"/>
        <v>1</v>
      </c>
      <c r="O116" s="159" t="s">
        <v>1150</v>
      </c>
      <c r="P116" s="78"/>
    </row>
    <row r="117" spans="1:16" s="6" customFormat="1" ht="24.75" customHeight="1" outlineLevel="1" x14ac:dyDescent="0.25">
      <c r="A117" s="140">
        <v>4</v>
      </c>
      <c r="B117" s="158" t="s">
        <v>2665</v>
      </c>
      <c r="C117" s="160" t="s">
        <v>31</v>
      </c>
      <c r="D117" s="176" t="s">
        <v>2690</v>
      </c>
      <c r="E117" s="142">
        <v>43892</v>
      </c>
      <c r="F117" s="142">
        <v>44196</v>
      </c>
      <c r="G117" s="157">
        <f t="shared" ref="G117:G159" si="6">IF(AND(E117&lt;&gt;"",F117&lt;&gt;""),((F117-E117)/30),"")</f>
        <v>10.133333333333333</v>
      </c>
      <c r="H117" s="177" t="s">
        <v>2691</v>
      </c>
      <c r="I117" s="63" t="s">
        <v>208</v>
      </c>
      <c r="J117" s="63" t="s">
        <v>241</v>
      </c>
      <c r="K117" s="178">
        <v>2045167157</v>
      </c>
      <c r="L117" s="100">
        <f>+IF(AND(K117&gt;0,O117="Ejecución"),(K117/877802)*Tabla28[[#This Row],[% participación]],IF(AND(K117&gt;0,O117&lt;&gt;"Ejecución"),"-",""))</f>
        <v>2329.8729747710759</v>
      </c>
      <c r="M117" s="65" t="s">
        <v>1148</v>
      </c>
      <c r="N117" s="170">
        <f t="shared" si="4"/>
        <v>1</v>
      </c>
      <c r="O117" s="159" t="s">
        <v>1150</v>
      </c>
      <c r="P117" s="78"/>
    </row>
    <row r="118" spans="1:16" s="7" customFormat="1" ht="24.75" customHeight="1" outlineLevel="1" x14ac:dyDescent="0.25">
      <c r="A118" s="141">
        <v>5</v>
      </c>
      <c r="B118" s="158" t="s">
        <v>2665</v>
      </c>
      <c r="C118" s="160" t="s">
        <v>31</v>
      </c>
      <c r="D118" s="176" t="s">
        <v>2692</v>
      </c>
      <c r="E118" s="142">
        <v>44046</v>
      </c>
      <c r="F118" s="142">
        <v>44196</v>
      </c>
      <c r="G118" s="157">
        <f t="shared" si="6"/>
        <v>5</v>
      </c>
      <c r="H118" s="177" t="s">
        <v>2693</v>
      </c>
      <c r="I118" s="63" t="s">
        <v>453</v>
      </c>
      <c r="J118" s="63" t="s">
        <v>975</v>
      </c>
      <c r="K118" s="178">
        <v>124400000</v>
      </c>
      <c r="L118" s="100">
        <f>+IF(AND(K118&gt;0,O118="Ejecución"),(K118/877802)*Tabla28[[#This Row],[% participación]],IF(AND(K118&gt;0,O118&lt;&gt;"Ejecución"),"-",""))</f>
        <v>141.71760829891022</v>
      </c>
      <c r="M118" s="65" t="s">
        <v>1148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4"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1"/>
      <c r="Z178" s="162" t="str">
        <f>IF(Y178&gt;0,SUM(E180+Y178),"")</f>
        <v/>
      </c>
      <c r="AA178" s="19"/>
      <c r="AB178" s="19"/>
    </row>
    <row r="179" spans="1:28" ht="23.25" x14ac:dyDescent="0.25">
      <c r="A179" s="9"/>
      <c r="B179" s="193" t="s">
        <v>2669</v>
      </c>
      <c r="C179" s="193"/>
      <c r="D179" s="193"/>
      <c r="E179" s="168">
        <v>0.02</v>
      </c>
      <c r="F179" s="167">
        <v>1E-3</v>
      </c>
      <c r="G179" s="162">
        <f>IF(F179&gt;0,SUM(E179+F179),"")</f>
        <v>2.1000000000000001E-2</v>
      </c>
      <c r="H179" s="5"/>
      <c r="I179" s="193" t="s">
        <v>2671</v>
      </c>
      <c r="J179" s="193"/>
      <c r="K179" s="193"/>
      <c r="L179" s="193"/>
      <c r="M179" s="169">
        <v>0.02</v>
      </c>
      <c r="O179" s="8"/>
      <c r="Q179" s="19"/>
      <c r="R179" s="156">
        <f>IF(M179&gt;0,SUM(L179+M179),"")</f>
        <v>0.02</v>
      </c>
      <c r="T179" s="19"/>
      <c r="U179" s="239" t="s">
        <v>1166</v>
      </c>
      <c r="V179" s="239"/>
      <c r="W179" s="239"/>
      <c r="X179" s="24">
        <v>0.02</v>
      </c>
      <c r="Y179" s="161"/>
      <c r="Z179" s="162" t="str">
        <f>IF(Y179&gt;0,SUM(E181+Y179),"")</f>
        <v/>
      </c>
      <c r="AA179" s="19"/>
      <c r="AB179" s="19"/>
    </row>
    <row r="180" spans="1:28" ht="23.25" hidden="1" x14ac:dyDescent="0.25">
      <c r="A180" s="9"/>
      <c r="B180" s="179"/>
      <c r="C180" s="179"/>
      <c r="D180" s="179"/>
      <c r="E180" s="166"/>
      <c r="H180" s="5"/>
      <c r="I180" s="179"/>
      <c r="J180" s="179"/>
      <c r="K180" s="179"/>
      <c r="L180" s="179"/>
      <c r="M180" s="5"/>
      <c r="O180" s="8"/>
      <c r="Q180" s="19"/>
      <c r="R180" s="156" t="str">
        <f>IF(S180&gt;0,SUM(L180+S180),"")</f>
        <v/>
      </c>
      <c r="S180" s="161"/>
      <c r="T180" s="19"/>
      <c r="U180" s="239" t="s">
        <v>1167</v>
      </c>
      <c r="V180" s="239"/>
      <c r="W180" s="239"/>
      <c r="X180" s="24">
        <v>0.03</v>
      </c>
      <c r="Y180" s="161"/>
      <c r="Z180" s="162" t="str">
        <f>IF(Y180&gt;0,SUM(E182+Y180),"")</f>
        <v/>
      </c>
      <c r="AA180" s="19"/>
      <c r="AB180" s="19"/>
    </row>
    <row r="181" spans="1:28" ht="23.25" hidden="1" x14ac:dyDescent="0.25">
      <c r="A181" s="9"/>
      <c r="B181" s="179"/>
      <c r="C181" s="179"/>
      <c r="D181" s="179"/>
      <c r="E181" s="166"/>
      <c r="H181" s="5"/>
      <c r="I181" s="179"/>
      <c r="J181" s="179"/>
      <c r="K181" s="179"/>
      <c r="L181" s="17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9"/>
      <c r="C182" s="179"/>
      <c r="D182" s="179"/>
      <c r="E182" s="166"/>
      <c r="H182" s="5"/>
      <c r="I182" s="179"/>
      <c r="J182" s="179"/>
      <c r="K182" s="179"/>
      <c r="L182" s="17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71686552.665000007</v>
      </c>
      <c r="F185" s="92"/>
      <c r="G185" s="93"/>
      <c r="H185" s="88"/>
      <c r="I185" s="90" t="s">
        <v>2627</v>
      </c>
      <c r="J185" s="163">
        <f>+SUM(M179:M183)</f>
        <v>0.02</v>
      </c>
      <c r="K185" s="238" t="s">
        <v>2628</v>
      </c>
      <c r="L185" s="238"/>
      <c r="M185" s="94">
        <f>+J185*(SUM(K20:K35))</f>
        <v>68272907.299999997</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7" t="s">
        <v>2636</v>
      </c>
      <c r="C192" s="197"/>
      <c r="E192" s="5" t="s">
        <v>20</v>
      </c>
      <c r="H192" s="26" t="s">
        <v>24</v>
      </c>
      <c r="J192" s="5" t="s">
        <v>2637</v>
      </c>
      <c r="K192" s="5"/>
      <c r="M192" s="5"/>
      <c r="N192" s="5"/>
      <c r="O192" s="8"/>
      <c r="Q192" s="151"/>
      <c r="R192" s="152"/>
      <c r="S192" s="152"/>
      <c r="T192" s="151"/>
    </row>
    <row r="193" spans="1:18" x14ac:dyDescent="0.25">
      <c r="A193" s="9"/>
      <c r="C193" s="124">
        <v>41974</v>
      </c>
      <c r="D193" s="5"/>
      <c r="E193" s="123">
        <v>1865</v>
      </c>
      <c r="F193" s="5"/>
      <c r="G193" s="5"/>
      <c r="H193" s="144" t="s">
        <v>2676</v>
      </c>
      <c r="J193" s="5"/>
      <c r="K193" s="124">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2020-12-23T13:08:41Z</cp:lastPrinted>
  <dcterms:created xsi:type="dcterms:W3CDTF">2020-10-14T21:57:42Z</dcterms:created>
  <dcterms:modified xsi:type="dcterms:W3CDTF">2020-12-23T14:29:48Z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