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USUARIO\Documents\LICITACION 20201  TRANSGREDIRA LA INDIFERENCIA\LICITACION\INVITACIONES MERAKI\2021-11-1100663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<sst xmlns="http://schemas.openxmlformats.org/spreadsheetml/2006/main" count="4830" uniqueCount="2731">
  <si>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</si>
  <si>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</si>
  <si>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</si>
  <si>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</si>
  <si>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</si>
  <si>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</si>
  <si>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</si>
  <si>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</si>
  <si>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</si>
  <si>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</si>
  <si>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</si>
  <si>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</si>
  <si>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</si>
  <si>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</si>
  <si>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</si>
  <si>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</si>
  <si>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</si>
  <si>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</si>
  <si>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</si>
  <si>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</si>
  <si>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</si>
  <si>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</si>
  <si>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</si>
  <si>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</si>
  <si>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</si>
  <si>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</si>
  <si>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</si>
  <si>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</si>
  <si>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</si>
  <si>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</si>
  <si>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</si>
  <si>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</si>
  <si>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</si>
  <si>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</si>
  <si>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</si>
  <si>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</si>
  <si>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</si>
  <si>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</si>
  <si>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</si>
  <si>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</si>
  <si>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</si>
  <si>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</si>
  <si>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</si>
  <si>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</si>
  <si>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</si>
  <si>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</si>
  <si>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</si>
  <si>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</si>
  <si>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</si>
  <si>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</si>
  <si>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</si>
  <si>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</si>
  <si>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</si>
  <si>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</si>
  <si>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</si>
  <si>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</si>
  <si>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</si>
  <si>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</si>
  <si>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</si>
  <si>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</si>
  <si>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</si>
  <si>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</si>
  <si>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</si>
  <si>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</si>
  <si>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</si>
  <si>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</si>
  <si>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</si>
  <si>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</si>
  <si>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</si>
  <si>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</si>
  <si>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</si>
  <si>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</si>
  <si>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</si>
  <si>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</si>
  <si>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</si>
  <si>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</si>
  <si>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</si>
  <si>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</si>
  <si>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</si>
  <si>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</si>
  <si>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</si>
  <si>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</si>
  <si>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</si>
  <si>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</si>
  <si>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</si>
  <si>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</si>
  <si>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</si>
  <si>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</si>
  <si>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</si>
  <si>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</si>
  <si>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</si>
  <si>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</si>
  <si>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</si>
  <si>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</si>
  <si>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</si>
  <si>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</si>
  <si>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</si>
  <si>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</si>
  <si>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</si>
  <si>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</si>
  <si>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</si>
  <si>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</si>
  <si>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</si>
  <si>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</si>
  <si>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</si>
  <si>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</si>
  <si>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</si>
  <si>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</si>
  <si>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</si>
  <si>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</si>
  <si>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</si>
  <si>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</si>
  <si>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</si>
  <si>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</si>
  <si>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</si>
  <si>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</si>
  <si>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</si>
  <si>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</si>
  <si>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</si>
  <si>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</si>
  <si>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</si>
  <si>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</si>
  <si>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</si>
  <si>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</si>
  <si>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</si>
  <si>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</si>
  <si>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</si>
  <si>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</si>
  <si>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</si>
  <si>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</si>
  <si>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</si>
  <si>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</si>
  <si>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</si>
  <si>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</si>
  <si>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</si>
  <si>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</si>
  <si>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</si>
  <si>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</si>
  <si>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</si>
  <si>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</si>
  <si>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</si>
  <si>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</si>
  <si>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</si>
  <si>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</si>
  <si>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</si>
  <si>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</si>
  <si>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</si>
  <si>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</si>
  <si>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</si>
  <si>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</si>
  <si>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</si>
  <si>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</si>
  <si>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</si>
  <si>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</si>
  <si>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</si>
  <si>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</si>
  <si>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</si>
  <si>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</si>
  <si>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</si>
  <si>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</si>
  <si>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</si>
  <si>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</si>
  <si>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</si>
  <si>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</si>
  <si>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</si>
  <si>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</si>
  <si>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</si>
  <si>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</si>
  <si>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</si>
  <si>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</si>
  <si>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</si>
  <si>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</si>
  <si>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</si>
  <si>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</si>
  <si>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</si>
  <si>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</si>
  <si>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</si>
  <si>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</si>
  <si>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</si>
  <si>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</si>
  <si>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</si>
  <si>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</si>
  <si>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</si>
  <si>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</si>
  <si>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</si>
  <si>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</si>
  <si>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</si>
  <si>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</si>
  <si>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</si>
  <si>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</si>
  <si>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</si>
  <si>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</si>
  <si>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</si>
  <si>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</si>
  <si>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</si>
  <si>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</si>
  <si>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</si>
  <si>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</si>
  <si>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</si>
  <si>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</si>
  <si>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</si>
  <si>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</si>
  <si>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</si>
  <si>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</si>
  <si>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</si>
  <si>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</si>
  <si>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</si>
  <si>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</si>
  <si>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</si>
  <si>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</si>
  <si>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</si>
  <si>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</si>
  <si>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</si>
  <si>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</si>
  <si>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</si>
  <si>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</si>
  <si>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</si>
  <si>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</si>
  <si>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</si>
  <si>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</si>
  <si>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</si>
  <si>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</si>
  <si>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</si>
  <si>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</si>
  <si>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</si>
  <si>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</si>
  <si>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</si>
  <si>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</si>
  <si>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</si>
  <si>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</si>
  <si>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</si>
  <si>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</si>
  <si>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</si>
  <si>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</si>
  <si>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</si>
  <si>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</si>
  <si>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</si>
  <si>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</si>
  <si>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</si>
  <si>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</si>
  <si>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</si>
  <si>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</si>
  <si>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</si>
  <si>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</si>
  <si>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</si>
  <si>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</si>
  <si>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</si>
  <si>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</si>
  <si>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</si>
  <si>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</si>
  <si>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</si>
  <si>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</si>
  <si>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</si>
  <si>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</si>
  <si>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</si>
  <si>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</si>
  <si>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</si>
  <si>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</si>
  <si>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</si>
  <si>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</si>
  <si>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</si>
  <si>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</si>
  <si>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</si>
  <si>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</si>
  <si>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</si>
  <si>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</si>
  <si>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</si>
  <si>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</si>
  <si>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</si>
  <si>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</si>
  <si>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</si>
  <si>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</si>
  <si>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</si>
  <si>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</si>
  <si>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</si>
  <si>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</si>
  <si>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</si>
  <si>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</si>
  <si>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</si>
  <si>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</si>
  <si>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</si>
  <si>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</si>
  <si>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</si>
  <si>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</si>
  <si>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</si>
  <si>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</si>
  <si>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</si>
  <si>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</si>
  <si>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</si>
  <si>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</si>
  <si>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</si>
  <si>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</si>
  <si>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</si>
  <si>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</si>
  <si>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</si>
  <si>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</si>
  <si>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</si>
  <si>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</si>
  <si>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</si>
  <si>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</si>
  <si>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</si>
  <si>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</si>
  <si>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</si>
  <si>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</si>
  <si>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</si>
  <si>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</si>
  <si>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</si>
  <si>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</si>
  <si>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</si>
  <si>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</si>
  <si>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</si>
  <si>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</si>
  <si>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</si>
  <si>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</si>
  <si>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</si>
  <si>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</si>
  <si>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</si>
  <si>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</si>
  <si>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</si>
  <si>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</si>
  <si>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</si>
  <si>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</si>
  <si>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</si>
  <si>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</si>
  <si>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</si>
  <si>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</si>
  <si>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</si>
  <si>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</si>
  <si>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</si>
  <si>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</si>
  <si>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</si>
  <si>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</si>
  <si>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</si>
  <si>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</si>
  <si>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</si>
  <si>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</si>
  <si>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</si>
  <si>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</si>
  <si>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</si>
  <si>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</si>
  <si>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</si>
  <si>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</si>
  <si>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</si>
  <si>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</si>
  <si>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</si>
  <si>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</si>
  <si>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</si>
  <si>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</si>
  <si>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</si>
  <si>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</si>
  <si>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</si>
  <si>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</si>
  <si>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</si>
  <si>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</si>
  <si>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</si>
  <si>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</si>
  <si>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</si>
  <si>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</si>
  <si>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</si>
  <si>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</si>
  <si>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</si>
  <si>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</si>
  <si>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</si>
  <si>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</si>
  <si>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</si>
  <si>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</si>
  <si>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</si>
  <si>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</si>
  <si>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</si>
  <si>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</si>
  <si>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</si>
  <si>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</si>
  <si>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</si>
  <si>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</si>
  <si>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</si>
  <si>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</si>
  <si>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</si>
  <si>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</si>
  <si>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</si>
  <si>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</si>
  <si>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</si>
  <si>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</si>
  <si>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</si>
  <si>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</si>
  <si>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</si>
  <si>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</si>
  <si>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</si>
  <si>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</si>
  <si>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</si>
  <si>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</si>
  <si>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</si>
  <si>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</si>
  <si>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</si>
  <si>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</si>
  <si>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</si>
  <si>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</si>
  <si>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</si>
  <si>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</si>
  <si>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</si>
  <si>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</si>
  <si>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</si>
  <si>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</si>
  <si>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</si>
  <si>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</si>
  <si>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</si>
  <si>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</si>
  <si>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</si>
  <si>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</si>
  <si>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</si>
  <si>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</si>
  <si>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</si>
  <si>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</si>
  <si>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</si>
  <si>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</si>
  <si>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</si>
  <si>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</si>
  <si>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</si>
  <si>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</si>
  <si>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</si>
  <si>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</si>
  <si>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</si>
  <si>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</si>
  <si>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</si>
  <si>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</si>
  <si>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</si>
  <si>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</si>
  <si>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</si>
  <si>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</si>
  <si>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</si>
  <si>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</si>
  <si>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</si>
  <si>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</si>
  <si>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</si>
  <si>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</si>
  <si>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</si>
  <si>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</si>
  <si>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</si>
  <si>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</si>
  <si>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</si>
  <si>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</si>
  <si>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</si>
  <si>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</si>
  <si>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</si>
  <si>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</si>
  <si>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</si>
  <si>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</si>
  <si>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</si>
  <si>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</si>
  <si>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</si>
  <si>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</si>
  <si>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</si>
  <si>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</si>
  <si>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</si>
  <si>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</si>
  <si>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</si>
  <si>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</si>
  <si>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</si>
  <si>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</si>
  <si>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</si>
  <si>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</si>
  <si>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</si>
  <si>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</si>
  <si>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</si>
  <si>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</si>
  <si>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</si>
  <si>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</si>
  <si>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</si>
  <si>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</si>
  <si>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</si>
  <si>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</si>
  <si>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</si>
  <si>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</si>
  <si>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</si>
  <si>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</si>
  <si>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</si>
  <si>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</si>
  <si>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</si>
  <si>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</si>
  <si>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</si>
  <si>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</si>
  <si>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</si>
  <si>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</si>
  <si>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</si>
  <si>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</si>
  <si>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</si>
  <si>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</si>
  <si>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</si>
  <si>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</si>
  <si>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</si>
  <si>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</si>
  <si>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</si>
  <si>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</si>
  <si>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</si>
  <si>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</si>
  <si>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</si>
  <si>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</si>
  <si>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</si>
  <si>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</si>
  <si>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</si>
  <si>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</si>
  <si>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</si>
  <si>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</si>
  <si>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</si>
  <si>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</si>
  <si>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</si>
  <si>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</si>
  <si>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</si>
  <si>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</si>
  <si>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</si>
  <si>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</si>
  <si>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</si>
  <si>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</si>
  <si>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</si>
  <si>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</si>
  <si>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</si>
  <si>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</si>
  <si>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</si>
  <si>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</si>
  <si>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</si>
  <si>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</si>
  <si>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</si>
  <si>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</si>
  <si>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</si>
  <si>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</si>
  <si>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</si>
  <si>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</si>
  <si>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</si>
  <si>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</si>
  <si>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</si>
  <si>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</si>
  <si>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</si>
  <si>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</si>
  <si>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</si>
  <si>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</si>
  <si>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</si>
  <si>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</si>
  <si>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</si>
  <si>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</si>
  <si>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</si>
  <si>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</si>
  <si>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</si>
  <si>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</si>
  <si>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</si>
  <si>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</si>
  <si>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</si>
  <si>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</si>
  <si>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</si>
  <si>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</si>
  <si>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</si>
  <si>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</si>
  <si>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</si>
  <si>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</si>
  <si>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</si>
  <si>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</si>
  <si>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</si>
  <si>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</si>
  <si>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</si>
  <si>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</si>
  <si>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</si>
  <si>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</si>
  <si>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</si>
  <si>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</si>
  <si>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</si>
  <si>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</si>
  <si>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</si>
  <si>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</si>
  <si>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</si>
  <si>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</si>
  <si>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</si>
  <si>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</si>
  <si>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</si>
  <si>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</si>
  <si>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</si>
  <si>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</si>
  <si>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</si>
  <si>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</si>
  <si>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</si>
  <si>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</si>
  <si>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</si>
  <si>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</si>
  <si>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</si>
  <si>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</si>
  <si>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</si>
  <si>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</si>
  <si>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</si>
  <si>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</si>
  <si>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</si>
  <si>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</si>
  <si>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</si>
  <si>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</si>
  <si>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</si>
  <si>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</si>
  <si>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</si>
  <si>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</si>
  <si>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</si>
  <si>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</si>
  <si>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</si>
  <si>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</si>
  <si>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</si>
  <si>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</si>
  <si>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</si>
  <si>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</si>
  <si>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</si>
  <si>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</si>
  <si>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</si>
  <si>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</si>
  <si>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</si>
  <si>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</si>
  <si>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</si>
  <si>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</si>
  <si>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</si>
  <si>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</si>
  <si>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</si>
  <si>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</si>
  <si>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</si>
  <si>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</si>
  <si>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</si>
  <si>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</si>
  <si>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</si>
  <si>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</si>
  <si>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</si>
  <si>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</si>
  <si>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</si>
  <si>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</si>
  <si>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</si>
  <si>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</si>
  <si>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</si>
  <si>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</si>
  <si>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</si>
  <si>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</si>
  <si>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</si>
  <si>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</si>
  <si>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</si>
  <si>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</si>
  <si>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</si>
  <si>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</si>
  <si>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</si>
  <si>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</si>
  <si>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</si>
  <si>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</si>
  <si>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</si>
  <si>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</si>
  <si>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</si>
  <si>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</si>
  <si>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</si>
  <si>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</si>
  <si>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</si>
  <si>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</si>
  <si>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</si>
  <si>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</si>
  <si>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</si>
  <si>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</si>
  <si>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</si>
  <si>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</si>
  <si>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</si>
  <si>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</si>
  <si>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</si>
  <si>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</si>
  <si>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</si>
  <si>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</si>
  <si>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</si>
  <si>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</si>
  <si>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</si>
  <si>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</si>
  <si>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</si>
  <si>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</si>
  <si>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</si>
  <si>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</si>
  <si>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</si>
  <si>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</si>
  <si>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</si>
  <si>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</si>
  <si>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</si>
  <si>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</si>
  <si>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</si>
  <si>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</si>
  <si>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</si>
  <si>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</si>
  <si>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</si>
  <si>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</si>
  <si>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</si>
  <si>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</si>
  <si>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</si>
  <si>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</si>
  <si>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</si>
  <si>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</si>
  <si>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</si>
  <si>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</si>
  <si>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</si>
  <si>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</si>
  <si>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</si>
  <si>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</si>
  <si>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</si>
  <si>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</si>
  <si>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</si>
  <si>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</si>
  <si>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</si>
  <si>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</si>
  <si>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</si>
  <si>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</si>
  <si>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</si>
  <si>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</si>
  <si>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</si>
  <si>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</si>
  <si>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</si>
  <si>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</si>
  <si>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</si>
  <si>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</si>
  <si>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</si>
  <si>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</si>
  <si>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</si>
  <si>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</si>
  <si>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</si>
  <si>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</si>
  <si>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</si>
  <si>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</si>
  <si>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</si>
  <si>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</si>
  <si>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</si>
  <si>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</si>
  <si>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</si>
  <si>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</si>
  <si>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</si>
  <si>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</si>
  <si>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</si>
  <si>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</si>
  <si>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</si>
  <si>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</si>
  <si>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</si>
  <si>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</si>
  <si>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</si>
  <si>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</si>
  <si>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</si>
  <si>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</si>
  <si>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</si>
  <si>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</si>
  <si>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</si>
  <si>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</si>
  <si>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</si>
  <si>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</si>
  <si>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</si>
  <si>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</si>
  <si>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</si>
  <si>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</si>
  <si>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</si>
  <si>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</si>
  <si>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</si>
  <si>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</si>
  <si>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</si>
  <si>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</si>
  <si>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</si>
  <si>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</si>
  <si>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</si>
  <si>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</si>
  <si>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</si>
  <si>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</si>
  <si>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</si>
  <si>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</si>
  <si>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</si>
  <si>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</si>
  <si>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</si>
  <si>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</si>
  <si>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</si>
  <si>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</si>
  <si>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</si>
  <si>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</si>
  <si>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</si>
  <si>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</si>
  <si>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</si>
  <si>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</si>
  <si>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</si>
  <si>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</si>
  <si>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</si>
  <si>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</si>
  <si>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</si>
  <si>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</si>
  <si>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</si>
  <si>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</si>
  <si>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</si>
  <si>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</si>
  <si>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</si>
  <si>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</si>
  <si>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</si>
  <si>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</si>
  <si>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</si>
  <si>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</si>
  <si>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</si>
  <si>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</si>
  <si>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</si>
  <si>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</si>
  <si>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</si>
  <si>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</si>
  <si>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</si>
  <si>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</si>
  <si>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</si>
  <si>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</si>
  <si>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</si>
  <si>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</si>
  <si>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</si>
  <si>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</si>
  <si>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</si>
  <si>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</si>
  <si>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</si>
  <si>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</si>
  <si>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</si>
  <si>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</si>
  <si>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</si>
  <si>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</si>
  <si>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</si>
  <si>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</si>
  <si>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</si>
  <si>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</si>
  <si>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</si>
  <si>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</si>
  <si>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</si>
  <si>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</si>
  <si>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</si>
  <si>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</si>
  <si>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</si>
  <si>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</si>
  <si>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</si>
  <si>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</si>
  <si>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</si>
  <si>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</si>
  <si>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</si>
  <si>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</si>
  <si>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</si>
  <si>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</si>
  <si>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</si>
  <si>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</si>
  <si>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</si>
  <si>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</si>
  <si>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</si>
  <si>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</si>
  <si>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</si>
  <si>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</si>
  <si>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</si>
  <si>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</si>
  <si>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</si>
  <si>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</si>
  <si>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</si>
  <si>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</si>
  <si>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</si>
  <si>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</si>
  <si>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</si>
  <si>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</si>
  <si>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</si>
  <si>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</si>
  <si>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</si>
  <si>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</si>
  <si>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</si>
  <si>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</si>
  <si>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</si>
  <si>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</si>
  <si>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</si>
  <si>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</si>
  <si>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</si>
  <si>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</si>
  <si>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</si>
  <si>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</si>
  <si>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</si>
  <si>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</si>
  <si>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</si>
  <si>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</si>
  <si>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</si>
  <si>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</si>
  <si>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</si>
  <si>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</si>
  <si>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</si>
  <si>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</si>
  <si>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</si>
  <si>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</si>
  <si>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</si>
  <si>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</si>
  <si>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</si>
  <si>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</si>
  <si>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</si>
  <si>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</si>
  <si>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</si>
  <si>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</si>
  <si>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</si>
  <si>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</si>
  <si>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</si>
  <si>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</si>
  <si>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</si>
  <si>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</si>
  <si>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</si>
  <si>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</si>
  <si>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</si>
  <si>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</si>
  <si>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</si>
  <si>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</si>
  <si>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</si>
  <si>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</si>
  <si>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</si>
  <si>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</si>
  <si>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</si>
  <si>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</si>
  <si>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</si>
  <si>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</si>
  <si>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</si>
  <si>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</si>
  <si>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</si>
  <si>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</si>
  <si>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</si>
  <si>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</si>
  <si>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</si>
  <si>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</si>
  <si>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</si>
  <si>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</si>
  <si>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</si>
  <si>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</si>
  <si>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</si>
  <si>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</si>
  <si>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</si>
  <si>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</si>
  <si>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</si>
  <si>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</si>
  <si>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</si>
  <si>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</si>
  <si>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</si>
  <si>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</si>
  <si>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</si>
  <si>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</si>
  <si>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</si>
  <si>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</si>
  <si>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</si>
  <si>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</si>
  <si>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</si>
  <si>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</si>
  <si>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</si>
  <si>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</si>
  <si>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</si>
  <si>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</si>
  <si>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</si>
  <si>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</si>
  <si>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</si>
  <si>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</si>
  <si>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</si>
  <si>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</si>
  <si>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</si>
  <si>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</si>
  <si>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</si>
  <si>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</si>
  <si>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</si>
  <si>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</si>
  <si>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</si>
  <si>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</si>
  <si>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</si>
  <si>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</si>
  <si>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</si>
  <si>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</si>
  <si>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</si>
  <si>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</si>
  <si>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</si>
  <si>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</si>
  <si>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</si>
  <si>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</si>
  <si>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</si>
  <si>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</si>
  <si>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</si>
  <si>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</si>
  <si>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</si>
  <si>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</si>
  <si>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</si>
  <si>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</si>
  <si>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</si>
  <si>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</si>
  <si>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</si>
  <si>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</si>
  <si>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</si>
  <si>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</si>
  <si>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</si>
  <si>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</si>
  <si>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</si>
  <si>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</si>
  <si>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</si>
  <si>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</si>
  <si>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</si>
  <si>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</si>
  <si>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</si>
  <si>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</si>
  <si>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</si>
  <si>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</si>
  <si>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</si>
  <si>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</si>
  <si>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</si>
  <si>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</si>
  <si>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</si>
  <si>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</si>
  <si>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</si>
  <si>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</si>
  <si>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</si>
  <si>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</si>
  <si>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</si>
  <si>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</si>
  <si>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</si>
  <si>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</si>
  <si>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</si>
  <si>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</si>
  <si>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</si>
  <si>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</si>
  <si>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</si>
  <si>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</si>
  <si>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</si>
  <si>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</si>
  <si>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</si>
  <si>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</si>
  <si>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</si>
  <si>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</si>
  <si>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</si>
  <si>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</si>
  <si>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</si>
  <si>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</si>
  <si>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</si>
  <si>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</si>
  <si>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</si>
  <si>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</si>
  <si>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</si>
  <si>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</si>
  <si>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</si>
  <si>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</si>
  <si>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</si>
  <si>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</si>
  <si>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</si>
  <si>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</si>
  <si>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</si>
  <si>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</si>
  <si>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</si>
  <si>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</si>
  <si>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</si>
  <si>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</si>
  <si>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</si>
  <si>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</si>
  <si>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</si>
  <si>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</si>
  <si>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</si>
  <si>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</si>
  <si>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</si>
  <si>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</si>
  <si>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</si>
  <si>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</si>
  <si>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</si>
  <si>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</si>
  <si>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</si>
  <si>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</si>
  <si>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</si>
  <si>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</si>
  <si>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</si>
  <si>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</si>
  <si>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</si>
  <si>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</si>
  <si>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</si>
  <si>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</si>
  <si>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</si>
  <si>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</si>
  <si>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</si>
  <si>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</si>
  <si>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</si>
  <si>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</si>
  <si>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</si>
  <si>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</si>
  <si>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</si>
  <si>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</si>
  <si>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</si>
  <si>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</si>
  <si>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</si>
  <si>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</si>
  <si>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</si>
  <si>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</si>
  <si>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</si>
  <si>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</si>
  <si>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</si>
  <si>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</si>
  <si>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</si>
  <si>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</si>
  <si>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</si>
  <si>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</si>
  <si>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</si>
  <si>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</si>
  <si>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</si>
  <si>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</si>
  <si>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</si>
  <si>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</si>
  <si>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</si>
  <si>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</si>
  <si>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</si>
  <si>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</si>
  <si>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</si>
  <si>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</si>
  <si>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</si>
  <si>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</si>
  <si>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</si>
  <si>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</si>
  <si>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</si>
  <si>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</si>
  <si>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</si>
  <si>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</si>
  <si>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</si>
  <si>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</si>
  <si>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</si>
  <si>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</si>
  <si>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</si>
  <si>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</si>
  <si>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</si>
  <si>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</si>
  <si>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</si>
  <si>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</si>
  <si>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</si>
  <si>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</si>
  <si>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</si>
  <si>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</si>
  <si>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</si>
  <si>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</si>
  <si>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</si>
  <si>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</si>
  <si>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</si>
  <si>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</si>
  <si>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</si>
  <si>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</si>
  <si>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</si>
  <si>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</si>
  <si>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</si>
  <si>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</si>
  <si>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</si>
  <si>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</si>
  <si>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</si>
  <si>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</si>
  <si>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</si>
  <si>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</si>
  <si>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</si>
  <si>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</si>
  <si>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</si>
  <si>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</si>
  <si>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</si>
  <si>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</si>
  <si>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</si>
  <si>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</si>
  <si>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</si>
  <si>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</si>
  <si>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</si>
  <si>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</si>
  <si>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</si>
  <si>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</si>
  <si>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</si>
  <si>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</si>
  <si>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</si>
  <si>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</si>
  <si>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</si>
  <si>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</si>
  <si>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</si>
  <si>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</si>
  <si>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</si>
  <si>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</si>
  <si>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</si>
  <si>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</si>
  <si>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</si>
  <si>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</si>
  <si>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</si>
  <si>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</si>
  <si>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</si>
  <si>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</si>
  <si>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</si>
  <si>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</si>
  <si>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</si>
  <si>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</si>
  <si>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</si>
  <si>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</si>
  <si>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</si>
  <si>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</si>
  <si>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</si>
  <si>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</si>
  <si>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</si>
  <si>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</si>
  <si>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</si>
  <si>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</si>
  <si>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</si>
  <si>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</si>
  <si>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</si>
  <si>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</si>
  <si>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</si>
  <si>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</si>
  <si>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</si>
  <si>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</si>
  <si>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</si>
  <si>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</si>
  <si>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</si>
  <si>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</si>
  <si>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</si>
  <si>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</si>
  <si>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</si>
  <si>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</si>
  <si>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</si>
  <si>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</si>
  <si>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</si>
  <si>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</si>
  <si>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</si>
  <si>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</si>
  <si>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</si>
  <si>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</si>
  <si>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</si>
  <si>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</si>
  <si>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</si>
  <si>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</si>
  <si>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</si>
  <si>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</si>
  <si>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</si>
  <si>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</si>
  <si>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</si>
  <si>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</si>
  <si>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</si>
  <si>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</si>
  <si>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</si>
  <si>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</si>
  <si>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</si>
  <si>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</si>
  <si>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</si>
  <si>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</si>
  <si>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</si>
  <si>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</si>
  <si>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</si>
  <si>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</si>
  <si>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</si>
  <si>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</si>
  <si>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</si>
  <si>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</si>
  <si>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</si>
  <si>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</si>
  <si>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</si>
  <si>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</si>
  <si>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</si>
  <si>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</si>
  <si>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</si>
  <si>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</si>
  <si>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</si>
  <si>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</si>
  <si>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</si>
  <si>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</si>
  <si>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</si>
  <si>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</si>
  <si>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</si>
  <si>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</si>
  <si>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</si>
  <si>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</si>
  <si>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</si>
  <si>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</si>
  <si>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</si>
  <si>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</si>
  <si>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</si>
  <si>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</si>
  <si>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</si>
  <si>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</si>
  <si>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</si>
  <si>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</si>
  <si>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</si>
  <si>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</si>
  <si>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</si>
  <si>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</si>
  <si>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</si>
  <si>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</si>
  <si>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</si>
  <si>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</si>
  <si>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</si>
  <si>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</si>
  <si>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</si>
  <si>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</si>
  <si>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</si>
  <si>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</si>
  <si>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</si>
  <si>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</si>
  <si>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</si>
  <si>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</si>
  <si>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</si>
  <si>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</si>
  <si>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</si>
  <si>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</si>
  <si>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</si>
  <si>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</si>
  <si>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</si>
  <si>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</si>
  <si>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</si>
  <si>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</si>
  <si>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</si>
  <si>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</si>
  <si>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</si>
  <si>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</si>
  <si>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</si>
  <si>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</si>
  <si>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</si>
  <si>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</si>
  <si>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</si>
  <si>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</si>
  <si>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</si>
  <si>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</si>
  <si>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</si>
  <si>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</si>
  <si>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</si>
  <si>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</si>
  <si>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</si>
  <si>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</si>
  <si>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</si>
  <si>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</si>
  <si>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</si>
  <si>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</si>
  <si>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</si>
  <si>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</si>
  <si>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</si>
  <si>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</si>
  <si>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</si>
  <si>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</si>
  <si>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</si>
  <si>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</si>
  <si>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</si>
  <si>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</si>
  <si>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</si>
  <si>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</si>
  <si>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</si>
  <si>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</si>
  <si>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</si>
  <si>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</si>
  <si>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</si>
  <si>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</si>
  <si>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</si>
  <si>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</si>
  <si>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</si>
  <si>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</si>
  <si>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</si>
  <si>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</si>
  <si>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</si>
  <si>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</si>
  <si>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</si>
  <si>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</si>
  <si>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</si>
  <si>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</si>
  <si>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</si>
  <si>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</si>
  <si>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</si>
  <si>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</si>
  <si>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</si>
  <si>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</si>
  <si>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</si>
  <si>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</si>
  <si>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</si>
  <si>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</si>
  <si>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</si>
  <si>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</si>
  <si>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</si>
  <si>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</si>
  <si>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</si>
  <si>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</si>
  <si>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</si>
  <si>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</si>
  <si>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</si>
  <si>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</si>
  <si>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</si>
  <si>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</si>
  <si>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</si>
  <si>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</si>
  <si>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</si>
  <si>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</si>
  <si>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</si>
  <si>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</si>
  <si>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</si>
  <si>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</si>
  <si>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</si>
  <si>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</si>
  <si>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</si>
  <si>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</si>
  <si>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</si>
  <si>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</si>
  <si>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</si>
  <si>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</si>
  <si>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</si>
  <si>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</si>
  <si>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</si>
  <si>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</si>
  <si>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</si>
  <si>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</si>
  <si>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</si>
  <si>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</si>
  <si>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</si>
  <si>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</si>
  <si>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</si>
  <si>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</si>
  <si>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</si>
  <si>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</si>
  <si>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</si>
  <si>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</si>
  <si>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</si>
  <si>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</si>
  <si>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</si>
  <si>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</si>
  <si>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</si>
  <si>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</si>
  <si>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</si>
  <si>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</si>
  <si>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</si>
  <si>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</si>
  <si>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</si>
  <si>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</si>
  <si>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</si>
  <si>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</si>
  <si>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</si>
  <si>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</si>
  <si>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</si>
  <si>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</si>
  <si>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</si>
  <si>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</si>
  <si>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</si>
  <si>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</si>
  <si>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</si>
  <si>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</si>
  <si>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</si>
  <si>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</si>
  <si>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</si>
  <si>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</si>
  <si>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</si>
  <si>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</si>
  <si>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</si>
  <si>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</si>
  <si>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</si>
  <si>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</si>
  <si>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</si>
  <si>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</si>
  <si>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</si>
  <si>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</si>
  <si>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</si>
  <si>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</si>
  <si>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</si>
  <si>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</si>
  <si>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</si>
  <si>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</si>
  <si>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</si>
  <si>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</si>
  <si>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</si>
  <si>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</si>
  <si>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</si>
  <si>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</si>
  <si>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</si>
  <si>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</si>
  <si>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</si>
  <si>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</si>
  <si>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</si>
  <si>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</si>
  <si>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</si>
  <si>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</si>
  <si>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</si>
  <si>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</si>
  <si>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</si>
  <si>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</si>
  <si>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</si>
  <si>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</si>
  <si>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</si>
  <si>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</si>
  <si>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</si>
  <si>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</si>
  <si>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</si>
  <si>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</si>
  <si>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</si>
  <si>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</si>
  <si>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</si>
  <si>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</si>
  <si>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</si>
  <si>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</si>
  <si>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</si>
  <si>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</si>
  <si>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</si>
  <si>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</si>
  <si>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</si>
  <si>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</si>
  <si>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</si>
  <si>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</si>
  <si>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</si>
  <si>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</si>
  <si>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</si>
  <si>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</si>
  <si>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</si>
  <si>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</si>
  <si>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</si>
  <si>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</si>
  <si>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</si>
  <si>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</si>
  <si>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</si>
  <si>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</si>
  <si>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</si>
  <si>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</si>
  <si>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</si>
  <si>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</si>
  <si>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</si>
  <si>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</si>
  <si>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</si>
  <si>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</si>
  <si>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</si>
  <si>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</si>
  <si>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</si>
  <si>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</si>
  <si>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</si>
  <si>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</si>
  <si>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</si>
  <si>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</si>
  <si>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</si>
  <si>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</si>
  <si>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</si>
  <si>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</si>
  <si>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</si>
  <si>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</si>
  <si>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</si>
  <si>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</si>
  <si>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</si>
  <si>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</si>
  <si>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</si>
  <si>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</si>
  <si>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</si>
  <si>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</si>
  <si>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</si>
  <si>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</si>
  <si>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</si>
  <si>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</si>
  <si>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</si>
  <si>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</si>
  <si>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</si>
  <si>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</si>
  <si>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</si>
  <si>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</si>
  <si>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</si>
  <si>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</si>
  <si>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</si>
  <si>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</si>
  <si>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</si>
  <si>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</si>
  <si>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</si>
  <si>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</si>
  <si>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</si>
  <si>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</si>
  <si>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</si>
  <si>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</si>
  <si>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</si>
  <si>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</si>
  <si>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</si>
  <si>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</si>
  <si>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</si>
  <si>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</si>
  <si>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</si>
  <si>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</si>
  <si>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</si>
  <si>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</si>
  <si>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</si>
  <si>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</si>
  <si>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</si>
  <si>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</si>
  <si>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</si>
  <si>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</si>
  <si>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</si>
  <si>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</si>
  <si>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</si>
  <si>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</si>
  <si>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</si>
  <si>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</si>
  <si>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</si>
  <si>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</si>
  <si>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</si>
  <si>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</si>
  <si>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</si>
  <si>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</si>
  <si>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</si>
  <si>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</si>
  <si>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</si>
  <si>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</si>
  <si>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</si>
  <si>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</si>
  <si>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</si>
  <si>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</si>
  <si>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</si>
  <si>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</si>
  <si>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</si>
  <si>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</si>
  <si>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</si>
  <si>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</si>
  <si>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</si>
  <si>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</si>
  <si>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</si>
  <si>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</si>
  <si>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</si>
  <si>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</si>
  <si>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</si>
  <si>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</si>
  <si>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</si>
  <si>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</si>
  <si>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</si>
  <si>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</si>
  <si>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</si>
  <si>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</si>
  <si>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</si>
  <si>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</si>
  <si>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</si>
  <si>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</si>
  <si>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</si>
  <si>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</si>
  <si>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</si>
  <si>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</si>
  <si>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</si>
  <si>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</si>
  <si>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</si>
  <si>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</si>
  <si>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</si>
  <si>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</si>
  <si>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</si>
  <si>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</si>
  <si>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</si>
  <si>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</si>
  <si>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</si>
  <si>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</si>
  <si>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</si>
  <si>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</si>
  <si>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</si>
  <si>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</si>
  <si>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</si>
  <si>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</si>
  <si>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</si>
  <si>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</si>
  <si>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</si>
  <si>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</si>
  <si>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</si>
  <si>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</si>
  <si>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</si>
  <si>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</si>
  <si>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</si>
  <si>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</si>
  <si>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</si>
  <si>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</si>
  <si>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</si>
  <si>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</si>
  <si>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</si>
  <si>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</si>
  <si>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</si>
  <si>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</si>
  <si>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</si>
  <si>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</si>
  <si>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</si>
  <si>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</si>
  <si>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</si>
  <si>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</si>
  <si>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</si>
  <si>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</si>
  <si>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</si>
  <si>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</si>
  <si>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</si>
  <si>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</si>
  <si>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</si>
  <si>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</si>
  <si>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</si>
  <si>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</si>
  <si>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</si>
  <si>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</si>
  <si>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</si>
  <si>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</si>
  <si>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</si>
  <si>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</si>
  <si>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</si>
  <si>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</si>
  <si>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</si>
  <si>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</si>
  <si>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</si>
  <si>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</si>
  <si>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</si>
  <si>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</si>
  <si>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</si>
  <si>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</si>
  <si>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</si>
  <si>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</si>
  <si>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</si>
  <si>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</si>
  <si>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</si>
  <si>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</si>
  <si>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</si>
  <si>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</si>
  <si>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</si>
  <si>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</si>
  <si>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</si>
  <si>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</si>
  <si>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</si>
  <si>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</si>
  <si>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</si>
  <si>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</si>
  <si>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</si>
  <si>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</si>
  <si>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</si>
  <si>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</si>
  <si>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</si>
  <si>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</si>
  <si>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</si>
  <si>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</si>
  <si>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</si>
  <si>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</si>
  <si>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</si>
  <si>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</si>
  <si>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</si>
  <si>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</si>
  <si>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</si>
  <si>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</si>
  <si>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</si>
  <si>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</si>
  <si>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</si>
  <si>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</si>
  <si>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</si>
  <si>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</si>
  <si>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</si>
  <si>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</si>
  <si>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</si>
  <si>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</si>
  <si>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</si>
  <si>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</si>
  <si>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</si>
  <si>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</si>
  <si>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</si>
  <si>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</si>
  <si>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</si>
  <si>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</si>
  <si>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</si>
  <si>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</si>
  <si>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</si>
  <si>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</si>
  <si>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</si>
  <si>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</si>
  <si>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</si>
  <si>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</si>
  <si>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</si>
  <si>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</si>
  <si>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</si>
  <si>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</si>
  <si>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</si>
  <si>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</si>
  <si>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</si>
  <si>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</si>
  <si>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</si>
  <si>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</si>
  <si>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</si>
  <si>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</si>
  <si>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</si>
  <si>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</si>
  <si>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</si>
  <si>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</si>
  <si>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</si>
  <si>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</si>
  <si>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</si>
  <si>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</si>
  <si>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</si>
  <si>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</si>
  <si>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</si>
  <si>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</si>
  <si>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</si>
  <si>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</si>
  <si>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</si>
  <si>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</si>
  <si>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</si>
  <si>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</si>
  <si>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</si>
  <si>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</si>
  <si>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</si>
  <si>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</si>
  <si>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</si>
  <si>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</si>
  <si>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</si>
  <si>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</si>
  <si>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</si>
  <si>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</si>
  <si>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</si>
  <si>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</si>
  <si>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</si>
  <si>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</si>
  <si>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</si>
  <si>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</si>
  <si>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</si>
  <si>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</si>
  <si>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</si>
  <si>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</si>
  <si>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</si>
  <si>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</si>
  <si>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</si>
  <si>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</si>
  <si>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</si>
  <si>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</si>
  <si>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</si>
  <si>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</si>
  <si>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</si>
  <si>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</si>
  <si>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</si>
  <si>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</si>
  <si>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</si>
  <si>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</si>
  <si>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</si>
  <si>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</si>
  <si>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</si>
  <si>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</si>
  <si>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</si>
  <si>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</si>
  <si>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</si>
  <si>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</si>
  <si>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</si>
  <si>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</si>
  <si>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</si>
  <si>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</si>
  <si>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</si>
  <si>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</si>
  <si>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</si>
  <si>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</si>
  <si>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</si>
  <si>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</si>
  <si>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</si>
  <si>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</si>
  <si>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</si>
  <si>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</si>
  <si>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</si>
  <si>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</si>
  <si>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</si>
  <si>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</si>
  <si>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</si>
  <si>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</si>
  <si>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</si>
  <si>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</si>
  <si>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</si>
  <si>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</si>
  <si>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</si>
  <si>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</si>
  <si>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</si>
  <si>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</si>
  <si>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</si>
  <si>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</si>
  <si>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</si>
  <si>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</si>
  <si>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</si>
  <si>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</si>
  <si>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</si>
  <si>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</si>
  <si>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</si>
  <si>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</si>
  <si>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</si>
  <si>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</si>
  <si>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</si>
  <si>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</si>
  <si>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</si>
  <si>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</si>
  <si>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</si>
  <si>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</si>
  <si>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</si>
  <si>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</si>
  <si>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</si>
  <si>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</si>
  <si>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</si>
  <si>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</si>
  <si>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</si>
  <si>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</si>
  <si>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</si>
  <si>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</si>
  <si>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</si>
  <si>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</si>
  <si>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</si>
  <si>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</si>
  <si>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</si>
  <si>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</si>
  <si>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</si>
  <si>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</si>
  <si>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</si>
  <si>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</si>
  <si>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</si>
  <si>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</si>
  <si>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</si>
  <si>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</si>
  <si>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</si>
  <si>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</si>
  <si>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</si>
  <si>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</si>
  <si>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</si>
  <si>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</si>
  <si>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</si>
  <si>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</si>
  <si>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</si>
  <si>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</si>
  <si>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</si>
  <si>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</si>
  <si>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</si>
  <si>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</si>
  <si>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</si>
  <si>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</si>
  <si>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</si>
  <si>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</si>
  <si>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</si>
  <si>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</si>
  <si>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</si>
  <si>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</si>
  <si>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</si>
  <si>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</si>
  <si>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</si>
  <si>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</si>
  <si>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</si>
  <si>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</si>
  <si>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</si>
  <si>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</si>
  <si>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</si>
  <si>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</si>
  <si>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</si>
  <si>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</si>
  <si>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</si>
  <si>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</si>
  <si>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</si>
  <si>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</si>
  <si>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</si>
  <si>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</si>
  <si>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</si>
  <si>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</si>
  <si>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</si>
  <si>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</si>
  <si>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</si>
  <si>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</si>
  <si>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</si>
  <si>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</si>
  <si>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</si>
  <si>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</si>
  <si>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</si>
  <si>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</si>
  <si>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</si>
  <si>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</si>
  <si>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</si>
  <si>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</si>
  <si>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</si>
  <si>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</si>
  <si>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</si>
  <si>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</si>
  <si>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</si>
  <si>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</si>
  <si>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</si>
  <si>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</si>
  <si>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</si>
  <si>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</si>
  <si>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</si>
  <si>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</si>
  <si>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</si>
  <si>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</si>
  <si>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</si>
  <si>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</si>
  <si>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</si>
  <si>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</si>
  <si>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</si>
  <si>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</si>
  <si>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</si>
  <si>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</si>
  <si>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</si>
  <si>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</si>
  <si>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</si>
  <si>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</si>
  <si>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</si>
  <si>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</si>
  <si>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</si>
  <si>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</si>
  <si>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</si>
  <si>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</si>
  <si>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</si>
  <si>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</si>
  <si>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</si>
  <si>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</si>
  <si>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</si>
  <si>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</si>
  <si>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</si>
  <si>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</si>
  <si>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</si>
  <si>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</si>
  <si>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</si>
  <si>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</si>
  <si>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</si>
  <si>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</si>
  <si>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</si>
  <si>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</si>
  <si>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</si>
  <si>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</si>
  <si>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</si>
  <si>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</si>
  <si>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</si>
  <si>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</si>
  <si>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</si>
  <si>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</si>
  <si>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</si>
  <si>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</si>
  <si>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</si>
  <si>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</si>
  <si>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</si>
  <si>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</si>
  <si>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</si>
  <si>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</si>
  <si>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</si>
  <si>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</si>
  <si>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</si>
  <si>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</si>
  <si>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</si>
  <si>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</si>
  <si>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</si>
  <si>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</si>
  <si>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</si>
  <si>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</si>
  <si>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</si>
  <si>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</si>
  <si>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</si>
  <si>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</si>
  <si>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</si>
  <si>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</si>
  <si>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</si>
  <si>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</si>
  <si>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</si>
  <si>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</si>
  <si>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</si>
  <si>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</si>
  <si>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</si>
  <si>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</si>
  <si>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</si>
  <si>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</si>
  <si>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</si>
  <si>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</si>
  <si>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</si>
  <si>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</si>
  <si>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</si>
  <si>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</si>
  <si>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</si>
  <si>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</si>
  <si>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</si>
  <si>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</si>
  <si>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</si>
  <si>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</si>
  <si>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</si>
  <si>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</si>
  <si>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</si>
  <si>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</si>
  <si>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</si>
  <si>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</si>
  <si>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</si>
  <si>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</si>
  <si>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</si>
  <si>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</si>
  <si>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</si>
  <si>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</si>
  <si>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</si>
  <si>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</si>
  <si>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</si>
  <si>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</si>
  <si>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</si>
  <si>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</si>
  <si>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</si>
  <si>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</si>
  <si>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</si>
  <si>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</si>
  <si>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</si>
  <si>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</si>
  <si>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</si>
  <si>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</si>
  <si>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</si>
  <si>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</si>
  <si>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</si>
  <si>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</si>
  <si>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</si>
  <si>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</si>
  <si>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</si>
  <si>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</si>
  <si>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</si>
  <si>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</si>
  <si>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</si>
  <si>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</si>
  <si>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</si>
  <si>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</si>
  <si>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</si>
  <si>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</si>
  <si>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</si>
  <si>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</si>
  <si>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</si>
  <si>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</si>
  <si>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</si>
  <si>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</si>
  <si>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</si>
  <si>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</si>
  <si>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</si>
  <si>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</si>
  <si>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</si>
  <si>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</si>
  <si>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</si>
  <si>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</si>
  <si>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</si>
  <si>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</si>
  <si>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</si>
  <si>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</si>
  <si>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</si>
  <si>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</si>
  <si>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</si>
  <si>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</si>
  <si>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</si>
  <si>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</si>
  <si>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</si>
  <si>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</si>
  <si>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</si>
  <si>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</si>
  <si>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</si>
  <si>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</si>
  <si>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</si>
  <si>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</si>
  <si>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</si>
  <si>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</si>
  <si>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</si>
  <si>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</si>
  <si>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</si>
  <si>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</si>
  <si>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</si>
  <si>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</si>
  <si>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</si>
  <si>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</si>
  <si>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</si>
  <si>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</si>
  <si>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</si>
  <si>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</si>
  <si>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</si>
  <si>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</si>
  <si>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</si>
  <si>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</si>
  <si>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</si>
  <si>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</si>
  <si>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</si>
  <si>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</si>
  <si>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</si>
  <si>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</si>
  <si>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</si>
  <si>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</si>
  <si>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</si>
  <si>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</si>
  <si>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</si>
  <si>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</si>
  <si>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</si>
  <si>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</si>
  <si>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</si>
  <si>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</si>
  <si>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</si>
  <si>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</si>
  <si>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</si>
  <si>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</si>
  <si>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</si>
  <si>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</si>
  <si>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</si>
  <si>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</si>
  <si>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</si>
  <si>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</si>
  <si>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</si>
  <si>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</si>
  <si>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</si>
  <si>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</si>
  <si>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</si>
  <si>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</si>
  <si>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</si>
  <si>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</si>
  <si>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</si>
  <si>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</si>
  <si>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</si>
  <si>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</si>
  <si>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</si>
  <si>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</si>
  <si>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</si>
  <si>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</si>
  <si>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</si>
  <si>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</si>
  <si>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</si>
  <si>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</si>
  <si>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</si>
  <si>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</si>
  <si>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</si>
  <si>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</si>
  <si>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</si>
  <si>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</si>
  <si>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</si>
  <si>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</si>
  <si>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</si>
  <si>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</si>
  <si>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</si>
  <si>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</si>
  <si>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</si>
  <si>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</si>
  <si>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</si>
  <si>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</si>
  <si>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</si>
  <si>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</si>
  <si>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</si>
  <si>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</si>
  <si>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</si>
  <si>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</si>
  <si>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</si>
  <si>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</si>
  <si>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</si>
  <si>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</si>
  <si>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</si>
  <si>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</si>
  <si>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</si>
  <si>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</si>
  <si>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</si>
  <si>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</si>
  <si>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</si>
  <si>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</si>
  <si>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</si>
  <si>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</si>
  <si>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</si>
  <si>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</si>
  <si>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</si>
  <si>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</si>
  <si>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</si>
  <si>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</si>
  <si>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</si>
  <si>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</si>
  <si>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</si>
  <si>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</si>
  <si>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</si>
  <si>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</si>
  <si>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</si>
  <si>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</si>
  <si>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</si>
  <si>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</si>
  <si>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</si>
  <si>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</si>
  <si>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</si>
  <si>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</si>
  <si>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</si>
  <si>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</si>
  <si>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</si>
  <si>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</si>
  <si>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</si>
  <si>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</si>
  <si>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</si>
  <si>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</si>
  <si>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</si>
  <si>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</si>
  <si>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</si>
  <si>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</si>
  <si>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</si>
  <si>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</si>
  <si>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</si>
  <si>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</si>
  <si>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</si>
  <si>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</si>
  <si>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</si>
  <si>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</si>
  <si>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</si>
  <si>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</si>
  <si>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</si>
  <si>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</si>
  <si>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</si>
  <si>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</si>
  <si>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</si>
  <si>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</si>
  <si>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</si>
  <si>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</si>
  <si>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</si>
  <si>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</si>
  <si>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</si>
  <si>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</si>
  <si>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</si>
  <si>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</si>
  <si>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</si>
  <si>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</si>
  <si>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</si>
  <si>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</si>
  <si>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</si>
  <si>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</si>
  <si>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</si>
  <si>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</si>
  <si>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</si>
  <si>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</si>
  <si>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</si>
  <si>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</si>
  <si>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</si>
  <si>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</si>
  <si>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</si>
  <si>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</si>
  <si>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</si>
  <si>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</si>
  <si>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</si>
  <si>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</si>
  <si>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</si>
  <si>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</si>
  <si>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</si>
  <si>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</si>
  <si>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</si>
  <si>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</si>
  <si>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</si>
  <si>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</si>
  <si>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</si>
  <si>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</si>
  <si>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</si>
  <si>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</si>
  <si>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</si>
  <si>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</si>
  <si>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</si>
  <si>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</si>
  <si>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</si>
  <si>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</si>
  <si>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</si>
  <si>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</si>
  <si>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</si>
  <si>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</si>
  <si>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</si>
  <si>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</si>
  <si>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</si>
  <si>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</si>
  <si>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</si>
  <si>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</si>
  <si>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</si>
  <si>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</si>
  <si>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</si>
  <si>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</si>
  <si>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</si>
  <si>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</si>
  <si>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</si>
  <si>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</si>
  <si>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</si>
  <si>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</si>
  <si>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</si>
  <si>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</si>
  <si>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</si>
  <si>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</si>
  <si>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</si>
  <si>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</si>
  <si>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</si>
  <si>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</si>
  <si>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</si>
  <si>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</si>
  <si>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</si>
  <si>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</si>
  <si>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</si>
  <si>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</si>
  <si>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</si>
  <si>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</si>
  <si>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</si>
  <si>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</si>
  <si>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</si>
  <si>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</si>
  <si>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</si>
  <si>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</si>
  <si>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</si>
  <si>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</si>
  <si>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</si>
  <si>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</si>
  <si>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</si>
  <si>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</si>
  <si>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</si>
  <si>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</si>
  <si>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</si>
  <si>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</si>
  <si>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</si>
  <si>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</si>
  <si>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</si>
  <si>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</si>
  <si>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</si>
  <si>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</si>
  <si>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</si>
  <si>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</si>
  <si>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</si>
  <si>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</si>
  <si>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</si>
  <si>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</si>
  <si>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</si>
  <si>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</si>
  <si>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</si>
  <si>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</si>
  <si>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</si>
  <si>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</si>
  <si>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</si>
  <si>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</si>
  <si>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</si>
  <si>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</si>
  <si>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</si>
  <si>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</si>
  <si>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</si>
  <si>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</si>
  <si>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</si>
  <si>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</si>
  <si>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</si>
  <si>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</si>
  <si>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</si>
  <si>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</si>
  <si>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</si>
  <si>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</si>
  <si>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</si>
  <si>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</si>
  <si>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</si>
  <si>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</si>
  <si>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</si>
  <si>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</si>
  <si>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</si>
  <si>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</si>
  <si>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</si>
  <si>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</si>
  <si>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</si>
  <si>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</si>
  <si>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</si>
  <si>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</si>
  <si>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</si>
  <si>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</si>
  <si>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</si>
  <si>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</si>
  <si>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</si>
  <si>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</si>
  <si>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</si>
  <si>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</si>
  <si>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</si>
  <si>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</si>
  <si>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</si>
  <si>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</si>
  <si>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</si>
  <si>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</si>
  <si>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</si>
  <si>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</si>
  <si>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</si>
  <si>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</si>
  <si>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</si>
  <si>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</si>
  <si>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</si>
  <si>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</si>
  <si>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</si>
  <si>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</si>
  <si>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</si>
  <si>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</si>
  <si>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</si>
  <si>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</si>
  <si>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</si>
  <si>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</si>
  <si>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</si>
  <si>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</si>
  <si>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</si>
  <si>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</si>
  <si>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</si>
  <si>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</si>
  <si>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</si>
  <si>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</si>
  <si>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</si>
  <si>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</si>
  <si>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</si>
  <si>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</si>
  <si>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</si>
  <si>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</si>
  <si>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</si>
  <si>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</si>
  <si>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</si>
  <si>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</si>
  <si>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</si>
  <si>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</si>
  <si>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</si>
  <si>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</si>
  <si>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</si>
  <si>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</si>
  <si>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</si>
  <si>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</si>
  <si>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</si>
  <si>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</si>
  <si>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</si>
  <si>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</si>
  <si>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</si>
  <si>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</si>
  <si>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</si>
  <si>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</si>
  <si>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</si>
  <si>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</si>
  <si>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</si>
  <si>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</si>
  <si>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</si>
  <si>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</si>
  <si>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</si>
  <si>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</si>
  <si>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</si>
  <si>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</si>
  <si>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</si>
  <si>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</si>
  <si>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</si>
  <si>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</si>
  <si>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</si>
  <si>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</si>
  <si>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</si>
  <si>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</si>
  <si>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</si>
  <si>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</si>
  <si>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</si>
  <si>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</si>
  <si>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</si>
  <si>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</si>
  <si>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</si>
  <si>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</si>
  <si>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</si>
  <si>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</si>
  <si>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</si>
  <si>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</si>
  <si>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</si>
  <si>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</si>
  <si>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</si>
  <si>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</si>
  <si>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</si>
  <si>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</si>
  <si>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</si>
  <si>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</si>
  <si>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</si>
  <si>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</si>
  <si>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</si>
  <si>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</si>
  <si>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</si>
  <si>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</si>
  <si>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</si>
  <si>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</si>
  <si>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</si>
  <si>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</si>
  <si>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</si>
  <si>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</si>
  <si>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</si>
  <si>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</si>
  <si>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</si>
  <si>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</si>
  <si>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</si>
  <si>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</si>
  <si>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</si>
  <si>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</si>
  <si>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</si>
  <si>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</si>
  <si>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</si>
  <si>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</si>
  <si>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</si>
  <si>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</si>
  <si>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</si>
  <si>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</si>
  <si>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</si>
  <si>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</si>
  <si>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</si>
  <si>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</si>
  <si>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</si>
  <si>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</si>
  <si>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</si>
  <si>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</si>
  <si>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</si>
  <si>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</si>
  <si>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</si>
  <si>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</si>
  <si>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</si>
  <si>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</si>
  <si>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</si>
  <si>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</si>
  <si>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</si>
  <si>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</si>
  <si>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</si>
  <si>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</si>
  <si>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</si>
  <si>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</si>
  <si>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</si>
  <si>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</si>
  <si>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</si>
  <si>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</si>
  <si>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</si>
  <si>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</si>
  <si>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</si>
  <si>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</si>
  <si>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</si>
  <si>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</si>
  <si>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</si>
  <si>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</si>
  <si>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</si>
  <si>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</si>
  <si>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</si>
  <si>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</si>
  <si>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</si>
  <si>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</si>
  <si>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</si>
  <si>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</si>
  <si>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</si>
  <si>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</si>
  <si>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</si>
  <si>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</si>
  <si>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</si>
  <si>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</si>
  <si>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</si>
  <si>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</si>
  <si>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</si>
  <si>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</si>
  <si>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</si>
  <si>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</si>
  <si>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</si>
  <si>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</si>
  <si>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</si>
  <si>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</si>
  <si>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</si>
  <si>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</si>
  <si>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</si>
  <si>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</si>
  <si>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</si>
  <si>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</si>
  <si>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</si>
  <si>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</si>
  <si>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</si>
  <si>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</si>
  <si>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</si>
  <si>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</si>
  <si>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</si>
  <si>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</si>
  <si>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</si>
  <si>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</si>
  <si>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</si>
  <si>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</si>
  <si>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</si>
  <si>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</si>
  <si>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</si>
  <si>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</si>
  <si>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</si>
  <si>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</si>
  <si>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</si>
  <si>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</si>
  <si>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</si>
  <si>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</si>
  <si>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</si>
  <si>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</si>
  <si>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</si>
  <si>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</si>
  <si>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</si>
  <si>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</si>
  <si>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</si>
  <si>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</si>
  <si>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</si>
  <si>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</si>
  <si>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</si>
  <si>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</si>
  <si>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</si>
  <si>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</si>
  <si>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</si>
  <si>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</si>
  <si>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</si>
  <si>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</si>
  <si>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</si>
  <si>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</si>
  <si>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</si>
  <si>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</si>
  <si>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</si>
  <si>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</si>
  <si>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</si>
  <si>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</si>
  <si>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</si>
  <si>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</si>
  <si>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</si>
  <si>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</si>
  <si>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</si>
  <si>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</si>
  <si>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</si>
  <si>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</si>
  <si>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</si>
  <si>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</si>
  <si>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</si>
  <si>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</si>
  <si>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</si>
  <si>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</si>
  <si>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</si>
  <si>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</si>
  <si>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</si>
  <si>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</si>
  <si>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</si>
  <si>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</si>
  <si>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</si>
  <si>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</si>
  <si>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</si>
  <si>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</si>
  <si>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</si>
  <si>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</si>
  <si>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</si>
  <si>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</si>
  <si>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</si>
  <si>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</si>
  <si>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</si>
  <si>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</si>
  <si>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</si>
  <si>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</si>
  <si>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</si>
  <si>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</si>
  <si>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</si>
  <si>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</si>
  <si>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</si>
  <si>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</si>
  <si>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</si>
  <si>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</si>
  <si>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</si>
  <si>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</si>
  <si>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</si>
  <si>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</si>
  <si>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</si>
  <si>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</si>
  <si>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</si>
  <si>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</si>
  <si>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</si>
  <si>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</si>
  <si>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</si>
  <si>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</si>
  <si>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</si>
  <si>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</si>
  <si>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</si>
  <si>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</si>
  <si>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</si>
  <si>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</si>
  <si>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</si>
  <si>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</si>
  <si>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</si>
  <si>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</si>
  <si>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</si>
  <si>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</si>
  <si>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</si>
  <si>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</si>
  <si>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</si>
  <si>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</si>
  <si>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</si>
  <si>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</si>
  <si>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</si>
  <si>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</si>
  <si>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</si>
  <si>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</si>
  <si>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</si>
  <si>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</si>
  <si>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</si>
  <si>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</si>
  <si>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</si>
  <si>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</si>
  <si>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</si>
  <si>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</si>
  <si>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</si>
  <si>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</si>
  <si>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</si>
  <si>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</si>
  <si>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INSTITUTO COLOMBIANO DE BIENESTAR FAMILIAR</t>
  </si>
  <si>
    <t>MARIA CAMILA DUARTE LLANO</t>
  </si>
  <si>
    <t>CARRERA 4 # 39A - 64</t>
  </si>
  <si>
    <t>fundameraki@yahoo.com</t>
  </si>
  <si>
    <t>2021-11-11006632020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</si>
  <si>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</si>
  <si>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MERAKIFTI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</si>
</sst>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B8" zoomScale="80" zoomScaleNormal="8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1" t="str">
        <f>HYPERLINK("#Integrante_1!A109","CAPACIDAD RESIDUAL")</f>
        <v>CAPACIDAD RESIDUAL</v>
      </c>
      <c r="F8" s="272"/>
      <c r="G8" s="27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1" t="str">
        <f>HYPERLINK("#Integrante_1!A162","TALENTO HUMANO")</f>
        <v>TALENTO HUMANO</v>
      </c>
      <c r="F9" s="272"/>
      <c r="G9" s="27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1" t="str">
        <f>HYPERLINK("#Integrante_1!F162","INFRAESTRUCTURA")</f>
        <v>INFRAESTRUCTURA</v>
      </c>
      <c r="F10" s="272"/>
      <c r="G10" s="27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2728</v>
      </c>
      <c r="D15" s="35"/>
      <c r="E15" s="35"/>
      <c r="F15" s="5"/>
      <c r="G15" s="32" t="s">
        <v>1168</v>
      </c>
      <c r="H15" s="105" t="s">
        <v>187</v>
      </c>
      <c r="I15" s="32" t="s">
        <v>2629</v>
      </c>
      <c r="J15" s="110" t="s">
        <v>2637</v>
      </c>
      <c r="L15" s="268" t="s">
        <v>8</v>
      </c>
      <c r="M15" s="268"/>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8" t="s">
        <v>2730</v>
      </c>
      <c r="G20" s="5"/>
      <c r="H20" s="274"/>
      <c r="I20" s="145" t="s">
        <v>1156</v>
      </c>
      <c r="J20" s="146" t="s">
        <v>188</v>
      </c>
      <c r="K20" s="147">
        <v>339697390</v>
      </c>
      <c r="L20" s="148">
        <v>44221</v>
      </c>
      <c r="M20" s="148">
        <v>44561</v>
      </c>
      <c r="N20" s="131">
        <f>+(M20-L20)/30</f>
        <v>11.333333333333334</v>
      </c>
      <c r="O20" s="134"/>
      <c r="U20" s="130"/>
      <c r="V20" s="107">
        <f ca="1">NOW()</f>
        <v>44193.428033564815</v>
      </c>
      <c r="W20" s="107">
        <f ca="1">NOW()</f>
        <v>44193.428033564815</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FUNDACION TRANSGREDIR LA INDIFERENCIA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2729</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2724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2724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2724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2724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2724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2724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2724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2724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2724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2724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2724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2724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2724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2724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2724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2724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2724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2724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2724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2724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2724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2724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2724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2724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2724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2724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2724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2724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2724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2724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2724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2724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2724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2724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2724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2724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2724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2724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2724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2724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2724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2724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2724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2724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2724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2724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2724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2724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2724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2724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57" t="s">
        <v>2675</v>
      </c>
      <c r="J179" s="258"/>
      <c r="K179" s="258"/>
      <c r="L179" s="259"/>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93" t="s">
        <v>2633</v>
      </c>
      <c r="E185" s="96">
        <f>+(C185*SUM(K20:K35))</f>
        <v>10190921.699999999</v>
      </c>
      <c r="F185" s="94"/>
      <c r="G185" s="95"/>
      <c r="H185" s="90"/>
      <c r="I185" s="92" t="s">
        <v>2632</v>
      </c>
      <c r="J185" s="180">
        <f>M179</f>
        <v>0.02</v>
      </c>
      <c r="K185" s="253" t="s">
        <v>2633</v>
      </c>
      <c r="L185" s="253"/>
      <c r="M185" s="96">
        <f>+J185*K20</f>
        <v>6793947.7999999998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3" zoomScale="85" zoomScaleNormal="85" zoomScaleSheetLayoutView="40" zoomScalePageLayoutView="40" workbookViewId="0">
      <selection activeCell="F20" sqref="F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1" t="str">
        <f>HYPERLINK("#Integrante_2!A109","CAPACIDAD RESIDUAL")</f>
        <v>CAPACIDAD RESIDUAL</v>
      </c>
      <c r="F8" s="272"/>
      <c r="G8" s="27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1" t="str">
        <f>HYPERLINK("#Integrante_2!A162","TALENTO HUMANO")</f>
        <v>TALENTO HUMANO</v>
      </c>
      <c r="F9" s="272"/>
      <c r="G9" s="27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1" t="str">
        <f>HYPERLINK("#Integrante_2!F162","INFRAESTRUCTURA")</f>
        <v>INFRAESTRUCTURA</v>
      </c>
      <c r="F10" s="272"/>
      <c r="G10" s="27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2728</v>
      </c>
      <c r="D15" s="35"/>
      <c r="E15" s="35"/>
      <c r="F15" s="5"/>
      <c r="G15" s="32" t="s">
        <v>1168</v>
      </c>
      <c r="H15" s="105" t="s">
        <v>187</v>
      </c>
      <c r="I15" s="32" t="s">
        <v>2629</v>
      </c>
      <c r="J15" s="110" t="s">
        <v>2637</v>
      </c>
      <c r="L15" s="268" t="s">
        <v>8</v>
      </c>
      <c r="M15" s="268"/>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901333459</v>
      </c>
      <c r="C20" s="5"/>
      <c r="D20" s="164"/>
      <c r="E20" s="156" t="s">
        <v>2670</v>
      </c>
      <c r="F20" s="198" t="s">
        <v>2730</v>
      </c>
      <c r="G20" s="5"/>
      <c r="H20" s="274"/>
      <c r="I20" s="145" t="s">
        <v>1156</v>
      </c>
      <c r="J20" s="146" t="s">
        <v>188</v>
      </c>
      <c r="K20" s="147">
        <v>339697390</v>
      </c>
      <c r="L20" s="148">
        <v>44221</v>
      </c>
      <c r="M20" s="148">
        <v>44561</v>
      </c>
      <c r="N20" s="131">
        <f>+(M20-L20)/30</f>
        <v>11.333333333333334</v>
      </c>
      <c r="O20" s="134"/>
      <c r="U20" s="130"/>
      <c r="V20" s="107">
        <f ca="1">NOW()</f>
        <v>44193.428033564815</v>
      </c>
      <c r="W20" s="107">
        <f ca="1">NOW()</f>
        <v>44193.428033564815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FUNDACIÓN ALTRUISTA MERAKI</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2729</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96"/>
      <c r="F48" s="196"/>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96"/>
      <c r="F49" s="196"/>
      <c r="G49" s="168" t="str">
        <f t="shared" ref="G49:G107" si="1">IF(AND(E49&lt;&gt;"",F49&lt;&gt;""),((F49-E49)/30),"")</f>
        <v/>
      </c>
      <c r="H49" s="197"/>
      <c r="I49" s="119"/>
      <c r="J49" s="119"/>
      <c r="K49" s="121"/>
      <c r="L49" s="122"/>
      <c r="M49" s="177"/>
      <c r="N49" s="122"/>
      <c r="O49" s="122"/>
      <c r="P49" s="80"/>
    </row>
    <row r="50" spans="1:16" s="6" customFormat="1" ht="24.75" customHeight="1" x14ac:dyDescent="0.25">
      <c r="A50" s="139">
        <v>3</v>
      </c>
      <c r="B50" s="120"/>
      <c r="C50" s="122"/>
      <c r="D50" s="119"/>
      <c r="E50" s="196"/>
      <c r="F50" s="196"/>
      <c r="G50" s="168" t="str">
        <f t="shared" si="1"/>
        <v/>
      </c>
      <c r="H50" s="120"/>
      <c r="I50" s="119"/>
      <c r="J50" s="119"/>
      <c r="K50" s="121"/>
      <c r="L50" s="122"/>
      <c r="M50" s="177"/>
      <c r="N50" s="122"/>
      <c r="O50" s="122"/>
      <c r="P50" s="80"/>
    </row>
    <row r="51" spans="1:16" s="6" customFormat="1" ht="24.75" customHeight="1" outlineLevel="1" x14ac:dyDescent="0.25">
      <c r="A51" s="139">
        <v>4</v>
      </c>
      <c r="B51" s="120"/>
      <c r="C51" s="122"/>
      <c r="D51" s="119"/>
      <c r="E51" s="196"/>
      <c r="F51" s="196"/>
      <c r="G51" s="168" t="str">
        <f t="shared" si="1"/>
        <v/>
      </c>
      <c r="H51" s="120"/>
      <c r="I51" s="119"/>
      <c r="J51" s="119"/>
      <c r="K51" s="117"/>
      <c r="L51" s="122"/>
      <c r="M51" s="177"/>
      <c r="N51" s="122"/>
      <c r="O51" s="122"/>
      <c r="P51" s="80"/>
    </row>
    <row r="52" spans="1:16" s="7" customFormat="1" ht="24.75" customHeight="1" outlineLevel="1" x14ac:dyDescent="0.25">
      <c r="A52" s="140">
        <v>5</v>
      </c>
      <c r="B52" s="120"/>
      <c r="C52" s="122"/>
      <c r="D52" s="119"/>
      <c r="E52" s="196"/>
      <c r="F52" s="196"/>
      <c r="G52" s="168" t="str">
        <f t="shared" si="1"/>
        <v/>
      </c>
      <c r="H52" s="120"/>
      <c r="I52" s="119"/>
      <c r="J52" s="119"/>
      <c r="K52" s="117"/>
      <c r="L52" s="122"/>
      <c r="M52" s="177"/>
      <c r="N52" s="122"/>
      <c r="O52" s="122"/>
      <c r="P52" s="81"/>
    </row>
    <row r="53" spans="1:16" s="7" customFormat="1" ht="24.75" customHeight="1" outlineLevel="1" x14ac:dyDescent="0.25">
      <c r="A53" s="140">
        <v>6</v>
      </c>
      <c r="B53" s="120"/>
      <c r="C53" s="122"/>
      <c r="D53" s="119"/>
      <c r="E53" s="196"/>
      <c r="F53" s="196"/>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96"/>
      <c r="F54" s="196"/>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96"/>
      <c r="F55" s="196"/>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96"/>
      <c r="F56" s="196"/>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96"/>
      <c r="F57" s="196"/>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96"/>
      <c r="F114" s="196"/>
      <c r="G114" s="168" t="str">
        <f>IF(AND(E114&lt;&gt;"",F114&lt;&gt;""),((F114-E114)/30),"")</f>
        <v/>
      </c>
      <c r="H114" s="118"/>
      <c r="I114" s="119"/>
      <c r="J114" s="119"/>
      <c r="K114" s="121"/>
      <c r="L114" s="102" t="str">
        <f>+IF(AND(K114&gt;0,O114="Ejecución"),(K114/877802)*Tabla283[[#This Row],[% participación]],IF(AND(K114&gt;0,O114&lt;&gt;"Ejecución"),"-",""))</f>
        <v/>
      </c>
      <c r="M114" s="122" t="s">
        <v>2683</v>
      </c>
      <c r="N114" s="177">
        <f>+IF(M116="No",1,IF(M116="Si","Ingrese %",""))</f>
        <v>1</v>
      </c>
      <c r="O114" s="173" t="s">
        <v>1150</v>
      </c>
      <c r="P114" s="80"/>
    </row>
    <row r="115" spans="1:16" s="6" customFormat="1" ht="24.75" customHeight="1" x14ac:dyDescent="0.25">
      <c r="A115" s="139">
        <v>2</v>
      </c>
      <c r="B115" s="171" t="s">
        <v>2672</v>
      </c>
      <c r="C115" s="172" t="s">
        <v>31</v>
      </c>
      <c r="D115" s="119"/>
      <c r="E115" s="196"/>
      <c r="F115" s="196"/>
      <c r="G115" s="168" t="str">
        <f t="shared" ref="G115:G160" si="3">IF(AND(E115&lt;&gt;"",F115&lt;&gt;""),((F115-E115)/30),"")</f>
        <v/>
      </c>
      <c r="H115" s="120"/>
      <c r="I115" s="119"/>
      <c r="J115" s="119"/>
      <c r="K115" s="117"/>
      <c r="L115" s="102" t="str">
        <f>+IF(AND(K115&gt;0,O115="Ejecución"),(K115/877802)*Tabla283[[#This Row],[% participación]],IF(AND(K115&gt;0,O115&lt;&gt;"Ejecución"),"-",""))</f>
        <v/>
      </c>
      <c r="M115" s="122" t="s">
        <v>2683</v>
      </c>
      <c r="N115" s="177">
        <f>+IF(M116="No",1,IF(M116="Si","Ingrese %",""))</f>
        <v>1</v>
      </c>
      <c r="O115" s="173" t="s">
        <v>1150</v>
      </c>
      <c r="P115" s="80"/>
    </row>
    <row r="116" spans="1:16" s="6" customFormat="1" ht="24.75" customHeight="1" x14ac:dyDescent="0.25">
      <c r="A116" s="139">
        <v>3</v>
      </c>
      <c r="B116" s="171" t="s">
        <v>2672</v>
      </c>
      <c r="C116" s="172" t="s">
        <v>31</v>
      </c>
      <c r="D116" s="119"/>
      <c r="E116" s="196"/>
      <c r="F116" s="196"/>
      <c r="G116" s="168" t="str">
        <f t="shared" si="3"/>
        <v/>
      </c>
      <c r="H116" s="120"/>
      <c r="I116" s="119"/>
      <c r="J116" s="119"/>
      <c r="K116" s="117"/>
      <c r="L116" s="102" t="str">
        <f>+IF(AND(K116&gt;0,O116="Ejecución"),(K116/877802)*Tabla283[[#This Row],[% participación]],IF(AND(K116&gt;0,O116&lt;&gt;"Ejecución"),"-",""))</f>
        <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c r="E117" s="196"/>
      <c r="F117" s="196"/>
      <c r="G117" s="168" t="str">
        <f t="shared" si="3"/>
        <v/>
      </c>
      <c r="H117" s="120"/>
      <c r="I117" s="119"/>
      <c r="J117" s="119"/>
      <c r="K117" s="117"/>
      <c r="L117" s="102" t="str">
        <f>+IF(AND(K117&gt;0,O117="Ejecución"),(K117/877802)*Tabla283[[#This Row],[% participación]],IF(AND(K117&gt;0,O117&lt;&gt;"Ejecución"),"-",""))</f>
        <v/>
      </c>
      <c r="M117" s="122" t="s">
        <v>2683</v>
      </c>
      <c r="N117" s="177">
        <f t="shared" si="4"/>
        <v>1</v>
      </c>
      <c r="O117" s="173" t="s">
        <v>1150</v>
      </c>
      <c r="P117" s="80"/>
    </row>
    <row r="118" spans="1:16" s="7" customFormat="1" ht="24.75" customHeight="1" outlineLevel="1" x14ac:dyDescent="0.25">
      <c r="A118" s="140">
        <v>5</v>
      </c>
      <c r="B118" s="171" t="s">
        <v>2672</v>
      </c>
      <c r="C118" s="172" t="s">
        <v>31</v>
      </c>
      <c r="D118" s="119"/>
      <c r="E118" s="196"/>
      <c r="F118" s="196"/>
      <c r="G118" s="168" t="str">
        <f t="shared" si="3"/>
        <v/>
      </c>
      <c r="H118" s="120"/>
      <c r="I118" s="119"/>
      <c r="J118" s="119"/>
      <c r="K118" s="121"/>
      <c r="L118" s="102" t="str">
        <f>+IF(AND(K118&gt;0,O118="Ejecución"),(K118/877802)*Tabla283[[#This Row],[% participación]],IF(AND(K118&gt;0,O118&lt;&gt;"Ejecución"),"-",""))</f>
        <v/>
      </c>
      <c r="M118" s="122" t="s">
        <v>2683</v>
      </c>
      <c r="N118" s="177">
        <f t="shared" si="4"/>
        <v>1</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121"/>
      <c r="L119" s="102" t="str">
        <f>+IF(AND(K119&gt;0,O119="Ejecución"),(K119/877802)*Tabla283[[#This Row],[% participación]],IF(AND(K119&gt;0,O119&lt;&gt;"Ejecución"),"-",""))</f>
        <v/>
      </c>
      <c r="M119" s="122" t="s">
        <v>2683</v>
      </c>
      <c r="N119" s="177">
        <f t="shared" si="4"/>
        <v>1</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f t="shared" si="4"/>
        <v>1</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t="s">
        <v>2622</v>
      </c>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v>0.01</v>
      </c>
      <c r="G179" s="175">
        <f>IF(F179&gt;0,SUM(E179+F179),"")</f>
        <v>0.03</v>
      </c>
      <c r="H179" s="5"/>
      <c r="I179" s="249" t="s">
        <v>2675</v>
      </c>
      <c r="J179" s="250"/>
      <c r="K179" s="250"/>
      <c r="L179" s="251"/>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0.03</v>
      </c>
      <c r="D185" s="165" t="s">
        <v>2633</v>
      </c>
      <c r="E185" s="96">
        <f>+(C185*SUM(K20:K35))</f>
        <v>10190921.699999999</v>
      </c>
      <c r="F185" s="94"/>
      <c r="G185" s="95"/>
      <c r="H185" s="90"/>
      <c r="I185" s="92" t="s">
        <v>2632</v>
      </c>
      <c r="J185" s="180">
        <f>M179</f>
        <v>0.02</v>
      </c>
      <c r="K185" s="253" t="s">
        <v>2633</v>
      </c>
      <c r="L185" s="253"/>
      <c r="M185" s="96">
        <f>+J185*K20</f>
        <v>6793947.7999999998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50"/>
      <c r="Q192" s="150"/>
      <c r="R192" s="151"/>
      <c r="S192" s="151"/>
      <c r="T192" s="150"/>
    </row>
    <row r="193" spans="1:18" x14ac:dyDescent="0.25">
      <c r="A193" s="9"/>
      <c r="C193" s="192">
        <v>43790</v>
      </c>
      <c r="D193" s="5"/>
      <c r="E193" s="193">
        <v>3119</v>
      </c>
      <c r="F193" s="5"/>
      <c r="G193" s="5"/>
      <c r="H193" s="193" t="s">
        <v>2725</v>
      </c>
      <c r="J193" s="5"/>
      <c r="K193" s="19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2726</v>
      </c>
      <c r="J211" s="27" t="s">
        <v>2627</v>
      </c>
      <c r="K211" s="193" t="s">
        <v>257</v>
      </c>
      <c r="L211" s="21"/>
      <c r="M211" s="21"/>
      <c r="N211" s="21"/>
      <c r="O211" s="8"/>
    </row>
    <row r="212" spans="1:15" x14ac:dyDescent="0.25">
      <c r="A212" s="9"/>
      <c r="B212" s="27" t="s">
        <v>2624</v>
      </c>
      <c r="C212" s="193" t="s">
        <v>2725</v>
      </c>
      <c r="D212" s="21"/>
      <c r="G212" s="27" t="s">
        <v>2626</v>
      </c>
      <c r="H212" s="194">
        <v>3203054161</v>
      </c>
      <c r="J212" s="27" t="s">
        <v>2628</v>
      </c>
      <c r="K212" s="193"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1" t="str">
        <f>HYPERLINK("#Integrante_3!A109","CAPACIDAD RESIDUAL")</f>
        <v>CAPACIDAD RESIDUAL</v>
      </c>
      <c r="F8" s="272"/>
      <c r="G8" s="27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1" t="str">
        <f>HYPERLINK("#Integrante_3!A162","TALENTO HUMANO")</f>
        <v>TALENTO HUMANO</v>
      </c>
      <c r="F9" s="272"/>
      <c r="G9" s="27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1" t="str">
        <f>HYPERLINK("#Integrante_3!F162","INFRAESTRUCTURA")</f>
        <v>INFRAESTRUCTURA</v>
      </c>
      <c r="F10" s="272"/>
      <c r="G10" s="27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44193.428033564815</v>
      </c>
      <c r="W20" s="107">
        <f ca="1">NOW()</f>
        <v>44193.428033564815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81"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60"/>
      <c r="S175" s="19"/>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60" t="s">
        <v>2623</v>
      </c>
      <c r="S176" s="19"/>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2675</v>
      </c>
      <c r="J177" s="250"/>
      <c r="K177" s="250"/>
      <c r="L177" s="251"/>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1" t="str">
        <f>HYPERLINK("#Integrante_4!A109","CAPACIDAD RESIDUAL")</f>
        <v>CAPACIDAD RESIDUAL</v>
      </c>
      <c r="F8" s="272"/>
      <c r="G8" s="27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1" t="str">
        <f>HYPERLINK("#Integrante_4!A162","TALENTO HUMANO")</f>
        <v>TALENTO HUMANO</v>
      </c>
      <c r="F9" s="272"/>
      <c r="G9" s="27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1" t="str">
        <f>HYPERLINK("#Integrante_4!F162","INFRAESTRUCTURA")</f>
        <v>INFRAESTRUCTURA</v>
      </c>
      <c r="F10" s="272"/>
      <c r="G10" s="27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44193.428033564815</v>
      </c>
      <c r="W20" s="107">
        <f ca="1">NOW()</f>
        <v>44193.428033564815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60"/>
      <c r="S177" s="19"/>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60" t="s">
        <v>2623</v>
      </c>
      <c r="S178" s="19"/>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2675</v>
      </c>
      <c r="J179" s="250"/>
      <c r="K179" s="250"/>
      <c r="L179" s="251"/>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1" t="str">
        <f>HYPERLINK("#Integrante_5!A109","CAPACIDAD RESIDUAL")</f>
        <v>CAPACIDAD RESIDUAL</v>
      </c>
      <c r="F8" s="272"/>
      <c r="G8" s="27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1" t="str">
        <f>HYPERLINK("#Integrante_5!A162","TALENTO HUMANO")</f>
        <v>TALENTO HUMANO</v>
      </c>
      <c r="F9" s="272"/>
      <c r="G9" s="27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1" t="str">
        <f>HYPERLINK("#Integrante_5!F162","INFRAESTRUCTURA")</f>
        <v>INFRAESTRUCTURA</v>
      </c>
      <c r="F10" s="272"/>
      <c r="G10" s="27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44193.428033564815</v>
      </c>
      <c r="W20" s="107">
        <f ca="1">NOW()</f>
        <v>44193.428033564815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81"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60"/>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9"/>
      <c r="S176" s="160" t="s">
        <v>2623</v>
      </c>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2673</v>
      </c>
      <c r="J177" s="250"/>
      <c r="K177" s="250"/>
      <c r="L177" s="251"/>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44193.428033564815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1" t="str">
        <f>HYPERLINK("#Integrante_6!A109","CAPACIDAD RESIDUAL")</f>
        <v>CAPACIDAD RESIDUAL</v>
      </c>
      <c r="F8" s="272"/>
      <c r="G8" s="27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1" t="str">
        <f>HYPERLINK("#Integrante_6!A162","TALENTO HUMANO")</f>
        <v>TALENTO HUMANO</v>
      </c>
      <c r="F9" s="272"/>
      <c r="G9" s="27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1" t="str">
        <f>HYPERLINK("#Integrante_6!F162","INFRAESTRUCTURA")</f>
        <v>INFRAESTRUCTURA</v>
      </c>
      <c r="F10" s="272"/>
      <c r="G10" s="27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44193.428033564815</v>
      </c>
      <c r="W20" s="107">
        <f ca="1">NOW()</f>
        <v>44193.428033564815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2673</v>
      </c>
      <c r="J179" s="250"/>
      <c r="K179" s="250"/>
      <c r="L179" s="251"/>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4fb10211-09fb-4e80-9f0b-184718d5d98c"/>
    <ds:schemaRef ds:uri="http://www.w3.org/XML/1998/namespace"/>
    <ds:schemaRef ds:uri="a65d333d-5b59-4810-bc94-b80d9325abb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2020-12-28T15:14:39Z</cp:lastPrinted>
  <dcterms:created xsi:type="dcterms:W3CDTF">2020-10-14T21:57:42Z</dcterms:created>
  <dcterms:modified xsi:type="dcterms:W3CDTF">2020-12-28T15:16:31Z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