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BOGOTA\2021-11-1000022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s="1"/>
  <c r="G119" i="20"/>
  <c r="N118" i="20"/>
  <c r="L118" i="20" s="1"/>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<sst xmlns="http://schemas.openxmlformats.org/spreadsheetml/2006/main" count="4981" uniqueCount="2763">
  <si>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</si>
  <si>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</si>
  <si>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</si>
  <si>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</si>
  <si>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</si>
  <si>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</si>
  <si>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</si>
  <si>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</si>
  <si>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</si>
  <si>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</si>
  <si>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</si>
  <si>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</si>
  <si>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</si>
  <si>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</si>
  <si>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</si>
  <si>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</si>
  <si>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</si>
  <si>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</si>
  <si>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</si>
  <si>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</si>
  <si>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</si>
  <si>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</si>
  <si>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</si>
  <si>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</si>
  <si>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</si>
  <si>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</si>
  <si>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</si>
  <si>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</si>
  <si>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</si>
  <si>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</si>
  <si>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</si>
  <si>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</si>
  <si>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</si>
  <si>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</si>
  <si>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</si>
  <si>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</si>
  <si>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</si>
  <si>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</si>
  <si>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</si>
  <si>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</si>
  <si>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</si>
  <si>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</si>
  <si>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</si>
  <si>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</si>
  <si>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</si>
  <si>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</si>
  <si>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</si>
  <si>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</si>
  <si>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</si>
  <si>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</si>
  <si>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</si>
  <si>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</si>
  <si>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</si>
  <si>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</si>
  <si>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</si>
  <si>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</si>
  <si>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</si>
  <si>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</si>
  <si>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</si>
  <si>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</si>
  <si>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</si>
  <si>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</si>
  <si>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</si>
  <si>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</si>
  <si>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</si>
  <si>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</si>
  <si>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</si>
  <si>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</si>
  <si>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</si>
  <si>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</si>
  <si>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</si>
  <si>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</si>
  <si>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</si>
  <si>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</si>
  <si>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</si>
  <si>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</si>
  <si>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</si>
  <si>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</si>
  <si>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</si>
  <si>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</si>
  <si>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</si>
  <si>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</si>
  <si>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</si>
  <si>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</si>
  <si>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</si>
  <si>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</si>
  <si>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</si>
  <si>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</si>
  <si>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</si>
  <si>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</si>
  <si>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</si>
  <si>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</si>
  <si>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</si>
  <si>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</si>
  <si>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</si>
  <si>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</si>
  <si>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</si>
  <si>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</si>
  <si>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</si>
  <si>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</si>
  <si>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</si>
  <si>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</si>
  <si>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</si>
  <si>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</si>
  <si>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</si>
  <si>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</si>
  <si>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</si>
  <si>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</si>
  <si>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</si>
  <si>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</si>
  <si>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</si>
  <si>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</si>
  <si>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</si>
  <si>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</si>
  <si>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</si>
  <si>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</si>
  <si>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</si>
  <si>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</si>
  <si>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</si>
  <si>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</si>
  <si>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</si>
  <si>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</si>
  <si>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</si>
  <si>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</si>
  <si>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</si>
  <si>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</si>
  <si>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</si>
  <si>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</si>
  <si>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</si>
  <si>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</si>
  <si>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</si>
  <si>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</si>
  <si>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</si>
  <si>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</si>
  <si>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</si>
  <si>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</si>
  <si>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</si>
  <si>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</si>
  <si>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</si>
  <si>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</si>
  <si>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</si>
  <si>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</si>
  <si>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</si>
  <si>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</si>
  <si>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</si>
  <si>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</si>
  <si>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</si>
  <si>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</si>
  <si>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</si>
  <si>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</si>
  <si>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</si>
  <si>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</si>
  <si>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</si>
  <si>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</si>
  <si>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</si>
  <si>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</si>
  <si>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</si>
  <si>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</si>
  <si>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</si>
  <si>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</si>
  <si>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</si>
  <si>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</si>
  <si>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</si>
  <si>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</si>
  <si>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</si>
  <si>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</si>
  <si>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</si>
  <si>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</si>
  <si>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</si>
  <si>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</si>
  <si>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</si>
  <si>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</si>
  <si>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</si>
  <si>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</si>
  <si>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</si>
  <si>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</si>
  <si>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</si>
  <si>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</si>
  <si>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</si>
  <si>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</si>
  <si>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</si>
  <si>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</si>
  <si>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</si>
  <si>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</si>
  <si>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</si>
  <si>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</si>
  <si>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</si>
  <si>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</si>
  <si>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</si>
  <si>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</si>
  <si>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</si>
  <si>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</si>
  <si>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</si>
  <si>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</si>
  <si>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</si>
  <si>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</si>
  <si>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</si>
  <si>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</si>
  <si>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</si>
  <si>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</si>
  <si>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</si>
  <si>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</si>
  <si>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</si>
  <si>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</si>
  <si>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</si>
  <si>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</si>
  <si>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</si>
  <si>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</si>
  <si>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</si>
  <si>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</si>
  <si>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</si>
  <si>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</si>
  <si>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</si>
  <si>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</si>
  <si>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</si>
  <si>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</si>
  <si>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</si>
  <si>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</si>
  <si>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</si>
  <si>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</si>
  <si>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</si>
  <si>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</si>
  <si>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</si>
  <si>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</si>
  <si>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</si>
  <si>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</si>
  <si>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</si>
  <si>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</si>
  <si>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</si>
  <si>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</si>
  <si>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</si>
  <si>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</si>
  <si>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</si>
  <si>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</si>
  <si>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</si>
  <si>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</si>
  <si>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</si>
  <si>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</si>
  <si>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</si>
  <si>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</si>
  <si>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</si>
  <si>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</si>
  <si>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</si>
  <si>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</si>
  <si>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</si>
  <si>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</si>
  <si>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</si>
  <si>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</si>
  <si>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</si>
  <si>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</si>
  <si>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</si>
  <si>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</si>
  <si>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</si>
  <si>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</si>
  <si>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</si>
  <si>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</si>
  <si>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</si>
  <si>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</si>
  <si>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</si>
  <si>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</si>
  <si>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</si>
  <si>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</si>
  <si>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</si>
  <si>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</si>
  <si>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</si>
  <si>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</si>
  <si>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</si>
  <si>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</si>
  <si>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</si>
  <si>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</si>
  <si>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</si>
  <si>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</si>
  <si>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</si>
  <si>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</si>
  <si>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</si>
  <si>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</si>
  <si>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</si>
  <si>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</si>
  <si>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</si>
  <si>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</si>
  <si>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</si>
  <si>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</si>
  <si>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</si>
  <si>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</si>
  <si>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</si>
  <si>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</si>
  <si>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</si>
  <si>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</si>
  <si>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</si>
  <si>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</si>
  <si>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</si>
  <si>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</si>
  <si>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</si>
  <si>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</si>
  <si>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</si>
  <si>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</si>
  <si>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</si>
  <si>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</si>
  <si>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</si>
  <si>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</si>
  <si>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</si>
  <si>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</si>
  <si>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</si>
  <si>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</si>
  <si>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</si>
  <si>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</si>
  <si>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</si>
  <si>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</si>
  <si>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</si>
  <si>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</si>
  <si>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</si>
  <si>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</si>
  <si>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</si>
  <si>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</si>
  <si>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</si>
  <si>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</si>
  <si>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</si>
  <si>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</si>
  <si>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</si>
  <si>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</si>
  <si>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</si>
  <si>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</si>
  <si>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</si>
  <si>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</si>
  <si>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</si>
  <si>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</si>
  <si>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</si>
  <si>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</si>
  <si>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</si>
  <si>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</si>
  <si>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</si>
  <si>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</si>
  <si>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</si>
  <si>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</si>
  <si>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</si>
  <si>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</si>
  <si>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</si>
  <si>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</si>
  <si>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</si>
  <si>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</si>
  <si>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</si>
  <si>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</si>
  <si>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</si>
  <si>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</si>
  <si>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</si>
  <si>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</si>
  <si>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</si>
  <si>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</si>
  <si>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</si>
  <si>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</si>
  <si>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</si>
  <si>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</si>
  <si>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</si>
  <si>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</si>
  <si>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</si>
  <si>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</si>
  <si>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</si>
  <si>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</si>
  <si>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</si>
  <si>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</si>
  <si>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</si>
  <si>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</si>
  <si>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</si>
  <si>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</si>
  <si>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</si>
  <si>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</si>
  <si>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</si>
  <si>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</si>
  <si>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</si>
  <si>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</si>
  <si>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</si>
  <si>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</si>
  <si>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</si>
  <si>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</si>
  <si>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</si>
  <si>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</si>
  <si>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</si>
  <si>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</si>
  <si>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</si>
  <si>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</si>
  <si>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</si>
  <si>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</si>
  <si>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</si>
  <si>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</si>
  <si>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</si>
  <si>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</si>
  <si>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</si>
  <si>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</si>
  <si>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</si>
  <si>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</si>
  <si>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</si>
  <si>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</si>
  <si>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</si>
  <si>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</si>
  <si>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</si>
  <si>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</si>
  <si>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</si>
  <si>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</si>
  <si>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</si>
  <si>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</si>
  <si>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</si>
  <si>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</si>
  <si>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</si>
  <si>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</si>
  <si>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</si>
  <si>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</si>
  <si>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</si>
  <si>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</si>
  <si>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</si>
  <si>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</si>
  <si>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</si>
  <si>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</si>
  <si>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</si>
  <si>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</si>
  <si>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</si>
  <si>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</si>
  <si>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</si>
  <si>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</si>
  <si>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</si>
  <si>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</si>
  <si>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</si>
  <si>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</si>
  <si>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</si>
  <si>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</si>
  <si>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</si>
  <si>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</si>
  <si>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</si>
  <si>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</si>
  <si>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</si>
  <si>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</si>
  <si>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</si>
  <si>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</si>
  <si>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</si>
  <si>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</si>
  <si>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</si>
  <si>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</si>
  <si>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</si>
  <si>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</si>
  <si>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</si>
  <si>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</si>
  <si>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</si>
  <si>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</si>
  <si>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</si>
  <si>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</si>
  <si>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</si>
  <si>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</si>
  <si>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</si>
  <si>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</si>
  <si>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</si>
  <si>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</si>
  <si>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</si>
  <si>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</si>
  <si>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</si>
  <si>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</si>
  <si>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</si>
  <si>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</si>
  <si>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</si>
  <si>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</si>
  <si>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</si>
  <si>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</si>
  <si>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</si>
  <si>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</si>
  <si>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</si>
  <si>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</si>
  <si>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</si>
  <si>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</si>
  <si>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</si>
  <si>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</si>
  <si>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</si>
  <si>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</si>
  <si>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</si>
  <si>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</si>
  <si>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</si>
  <si>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</si>
  <si>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</si>
  <si>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</si>
  <si>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</si>
  <si>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</si>
  <si>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</si>
  <si>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</si>
  <si>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</si>
  <si>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</si>
  <si>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</si>
  <si>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</si>
  <si>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</si>
  <si>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</si>
  <si>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</si>
  <si>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</si>
  <si>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</si>
  <si>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</si>
  <si>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</si>
  <si>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</si>
  <si>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</si>
  <si>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</si>
  <si>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</si>
  <si>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</si>
  <si>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</si>
  <si>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</si>
  <si>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</si>
  <si>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</si>
  <si>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</si>
  <si>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</si>
  <si>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</si>
  <si>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</si>
  <si>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</si>
  <si>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</si>
  <si>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</si>
  <si>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</si>
  <si>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</si>
  <si>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</si>
  <si>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</si>
  <si>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</si>
  <si>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</si>
  <si>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</si>
  <si>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</si>
  <si>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</si>
  <si>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</si>
  <si>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</si>
  <si>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</si>
  <si>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</si>
  <si>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</si>
  <si>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</si>
  <si>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</si>
  <si>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</si>
  <si>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</si>
  <si>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</si>
  <si>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</si>
  <si>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</si>
  <si>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</si>
  <si>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</si>
  <si>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</si>
  <si>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</si>
  <si>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</si>
  <si>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</si>
  <si>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</si>
  <si>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</si>
  <si>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</si>
  <si>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</si>
  <si>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</si>
  <si>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</si>
  <si>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</si>
  <si>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</si>
  <si>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</si>
  <si>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</si>
  <si>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</si>
  <si>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</si>
  <si>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</si>
  <si>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</si>
  <si>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</si>
  <si>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</si>
  <si>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</si>
  <si>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</si>
  <si>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</si>
  <si>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</si>
  <si>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</si>
  <si>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</si>
  <si>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</si>
  <si>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</si>
  <si>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</si>
  <si>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</si>
  <si>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</si>
  <si>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</si>
  <si>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</si>
  <si>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</si>
  <si>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</si>
  <si>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</si>
  <si>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</si>
  <si>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</si>
  <si>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</si>
  <si>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</si>
  <si>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</si>
  <si>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</si>
  <si>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</si>
  <si>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</si>
  <si>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</si>
  <si>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</si>
  <si>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</si>
  <si>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</si>
  <si>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</si>
  <si>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</si>
  <si>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</si>
  <si>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</si>
  <si>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</si>
  <si>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</si>
  <si>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</si>
  <si>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</si>
  <si>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</si>
  <si>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</si>
  <si>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</si>
  <si>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</si>
  <si>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</si>
  <si>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</si>
  <si>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</si>
  <si>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</si>
  <si>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</si>
  <si>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</si>
  <si>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</si>
  <si>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</si>
  <si>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</si>
  <si>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</si>
  <si>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</si>
  <si>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</si>
  <si>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</si>
  <si>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</si>
  <si>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</si>
  <si>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</si>
  <si>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</si>
  <si>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</si>
  <si>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</si>
  <si>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</si>
  <si>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</si>
  <si>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</si>
  <si>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</si>
  <si>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</si>
  <si>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</si>
  <si>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</si>
  <si>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</si>
  <si>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</si>
  <si>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</si>
  <si>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</si>
  <si>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</si>
  <si>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</si>
  <si>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</si>
  <si>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</si>
  <si>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</si>
  <si>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</si>
  <si>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</si>
  <si>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</si>
  <si>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</si>
  <si>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</si>
  <si>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</si>
  <si>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</si>
  <si>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</si>
  <si>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</si>
  <si>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</si>
  <si>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</si>
  <si>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</si>
  <si>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</si>
  <si>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</si>
  <si>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</si>
  <si>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</si>
  <si>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</si>
  <si>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</si>
  <si>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</si>
  <si>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</si>
  <si>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</si>
  <si>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</si>
  <si>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</si>
  <si>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</si>
  <si>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</si>
  <si>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</si>
  <si>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</si>
  <si>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</si>
  <si>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</si>
  <si>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</si>
  <si>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</si>
  <si>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</si>
  <si>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</si>
  <si>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</si>
  <si>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</si>
  <si>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</si>
  <si>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</si>
  <si>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</si>
  <si>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</si>
  <si>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</si>
  <si>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</si>
  <si>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</si>
  <si>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</si>
  <si>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</si>
  <si>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</si>
  <si>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</si>
  <si>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</si>
  <si>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</si>
  <si>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</si>
  <si>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</si>
  <si>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</si>
  <si>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</si>
  <si>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</si>
  <si>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</si>
  <si>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</si>
  <si>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</si>
  <si>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</si>
  <si>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</si>
  <si>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</si>
  <si>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</si>
  <si>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</si>
  <si>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</si>
  <si>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</si>
  <si>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</si>
  <si>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</si>
  <si>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</si>
  <si>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</si>
  <si>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</si>
  <si>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</si>
  <si>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</si>
  <si>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</si>
  <si>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</si>
  <si>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</si>
  <si>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</si>
  <si>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</si>
  <si>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</si>
  <si>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</si>
  <si>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</si>
  <si>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</si>
  <si>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</si>
  <si>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</si>
  <si>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</si>
  <si>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</si>
  <si>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</si>
  <si>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</si>
  <si>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</si>
  <si>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</si>
  <si>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</si>
  <si>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</si>
  <si>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</si>
  <si>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</si>
  <si>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</si>
  <si>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</si>
  <si>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</si>
  <si>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</si>
  <si>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</si>
  <si>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</si>
  <si>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</si>
  <si>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</si>
  <si>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</si>
  <si>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</si>
  <si>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</si>
  <si>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</si>
  <si>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</si>
  <si>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</si>
  <si>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</si>
  <si>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</si>
  <si>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</si>
  <si>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</si>
  <si>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</si>
  <si>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</si>
  <si>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</si>
  <si>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</si>
  <si>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</si>
  <si>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</si>
  <si>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</si>
  <si>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</si>
  <si>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</si>
  <si>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</si>
  <si>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</si>
  <si>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</si>
  <si>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</si>
  <si>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</si>
  <si>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</si>
  <si>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</si>
  <si>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</si>
  <si>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</si>
  <si>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</si>
  <si>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</si>
  <si>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</si>
  <si>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</si>
  <si>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</si>
  <si>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</si>
  <si>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</si>
  <si>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</si>
  <si>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</si>
  <si>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</si>
  <si>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</si>
  <si>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</si>
  <si>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</si>
  <si>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</si>
  <si>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</si>
  <si>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</si>
  <si>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</si>
  <si>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</si>
  <si>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</si>
  <si>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</si>
  <si>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</si>
  <si>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</si>
  <si>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</si>
  <si>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</si>
  <si>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</si>
  <si>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</si>
  <si>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</si>
  <si>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</si>
  <si>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</si>
  <si>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</si>
  <si>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</si>
  <si>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</si>
  <si>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</si>
  <si>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</si>
  <si>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</si>
  <si>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</si>
  <si>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</si>
  <si>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</si>
  <si>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</si>
  <si>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</si>
  <si>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</si>
  <si>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</si>
  <si>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</si>
  <si>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</si>
  <si>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</si>
  <si>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</si>
  <si>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</si>
  <si>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</si>
  <si>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</si>
  <si>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</si>
  <si>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</si>
  <si>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</si>
  <si>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</si>
  <si>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</si>
  <si>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</si>
  <si>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</si>
  <si>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</si>
  <si>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</si>
  <si>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</si>
  <si>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</si>
  <si>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</si>
  <si>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</si>
  <si>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</si>
  <si>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</si>
  <si>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</si>
  <si>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</si>
  <si>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</si>
  <si>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</si>
  <si>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</si>
  <si>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</si>
  <si>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</si>
  <si>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</si>
  <si>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</si>
  <si>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</si>
  <si>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</si>
  <si>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</si>
  <si>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</si>
  <si>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</si>
  <si>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</si>
  <si>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</si>
  <si>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</si>
  <si>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</si>
  <si>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</si>
  <si>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</si>
  <si>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</si>
  <si>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</si>
  <si>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</si>
  <si>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</si>
  <si>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</si>
  <si>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</si>
  <si>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</si>
  <si>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</si>
  <si>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</si>
  <si>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</si>
  <si>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</si>
  <si>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</si>
  <si>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</si>
  <si>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</si>
  <si>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</si>
  <si>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</si>
  <si>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</si>
  <si>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</si>
  <si>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</si>
  <si>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</si>
  <si>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</si>
  <si>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</si>
  <si>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</si>
  <si>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</si>
  <si>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</si>
  <si>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</si>
  <si>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</si>
  <si>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</si>
  <si>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</si>
  <si>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</si>
  <si>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</si>
  <si>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</si>
  <si>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</si>
  <si>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</si>
  <si>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</si>
  <si>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</si>
  <si>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</si>
  <si>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</si>
  <si>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</si>
  <si>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</si>
  <si>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</si>
  <si>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</si>
  <si>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</si>
  <si>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</si>
  <si>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</si>
  <si>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</si>
  <si>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</si>
  <si>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</si>
  <si>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</si>
  <si>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</si>
  <si>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</si>
  <si>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</si>
  <si>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</si>
  <si>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</si>
  <si>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</si>
  <si>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</si>
  <si>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</si>
  <si>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</si>
  <si>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</si>
  <si>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</si>
  <si>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</si>
  <si>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</si>
  <si>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</si>
  <si>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</si>
  <si>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</si>
  <si>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</si>
  <si>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</si>
  <si>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</si>
  <si>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</si>
  <si>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</si>
  <si>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</si>
  <si>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</si>
  <si>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</si>
  <si>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</si>
  <si>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</si>
  <si>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</si>
  <si>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</si>
  <si>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</si>
  <si>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</si>
  <si>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</si>
  <si>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</si>
  <si>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</si>
  <si>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</si>
  <si>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</si>
  <si>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</si>
  <si>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</si>
  <si>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</si>
  <si>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</si>
  <si>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</si>
  <si>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</si>
  <si>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</si>
  <si>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</si>
  <si>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</si>
  <si>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</si>
  <si>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</si>
  <si>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</si>
  <si>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</si>
  <si>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</si>
  <si>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</si>
  <si>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</si>
  <si>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</si>
  <si>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</si>
  <si>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</si>
  <si>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</si>
  <si>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</si>
  <si>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</si>
  <si>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</si>
  <si>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</si>
  <si>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</si>
  <si>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</si>
  <si>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</si>
  <si>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</si>
  <si>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</si>
  <si>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</si>
  <si>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</si>
  <si>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</si>
  <si>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</si>
  <si>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</si>
  <si>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</si>
  <si>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</si>
  <si>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</si>
  <si>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</si>
  <si>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</si>
  <si>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</si>
  <si>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</si>
  <si>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</si>
  <si>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</si>
  <si>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</si>
  <si>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</si>
  <si>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</si>
  <si>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</si>
  <si>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</si>
  <si>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</si>
  <si>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</si>
  <si>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</si>
  <si>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</si>
  <si>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</si>
  <si>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</si>
  <si>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</si>
  <si>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</si>
  <si>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</si>
  <si>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</si>
  <si>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</si>
  <si>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</si>
  <si>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</si>
  <si>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</si>
  <si>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</si>
  <si>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</si>
  <si>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</si>
  <si>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</si>
  <si>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</si>
  <si>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</si>
  <si>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</si>
  <si>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</si>
  <si>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</si>
  <si>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</si>
  <si>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</si>
  <si>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</si>
  <si>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</si>
  <si>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</si>
  <si>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</si>
  <si>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</si>
  <si>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</si>
  <si>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</si>
  <si>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</si>
  <si>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</si>
  <si>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</si>
  <si>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</si>
  <si>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</si>
  <si>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</si>
  <si>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</si>
  <si>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</si>
  <si>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</si>
  <si>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</si>
  <si>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</si>
  <si>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</si>
  <si>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</si>
  <si>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</si>
  <si>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</si>
  <si>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</si>
  <si>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</si>
  <si>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</si>
  <si>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</si>
  <si>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</si>
  <si>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</si>
  <si>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</si>
  <si>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</si>
  <si>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</si>
  <si>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</si>
  <si>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</si>
  <si>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</si>
  <si>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</si>
  <si>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</si>
  <si>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</si>
  <si>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</si>
  <si>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</si>
  <si>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</si>
  <si>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</si>
  <si>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</si>
  <si>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</si>
  <si>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</si>
  <si>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</si>
  <si>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</si>
  <si>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</si>
  <si>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</si>
  <si>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</si>
  <si>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</si>
  <si>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</si>
  <si>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</si>
  <si>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</si>
  <si>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</si>
  <si>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</si>
  <si>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</si>
  <si>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</si>
  <si>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</si>
  <si>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</si>
  <si>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</si>
  <si>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</si>
  <si>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</si>
  <si>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</si>
  <si>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</si>
  <si>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</si>
  <si>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</si>
  <si>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</si>
  <si>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</si>
  <si>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</si>
  <si>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</si>
  <si>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</si>
  <si>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</si>
  <si>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</si>
  <si>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</si>
  <si>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</si>
  <si>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</si>
  <si>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</si>
  <si>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</si>
  <si>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</si>
  <si>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</si>
  <si>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</si>
  <si>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</si>
  <si>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</si>
  <si>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</si>
  <si>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</si>
  <si>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</si>
  <si>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</si>
  <si>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</si>
  <si>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</si>
  <si>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</si>
  <si>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</si>
  <si>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</si>
  <si>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</si>
  <si>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</si>
  <si>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</si>
  <si>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</si>
  <si>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</si>
  <si>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</si>
  <si>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</si>
  <si>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</si>
  <si>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</si>
  <si>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</si>
  <si>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</si>
  <si>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</si>
  <si>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</si>
  <si>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</si>
  <si>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</si>
  <si>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</si>
  <si>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</si>
  <si>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</si>
  <si>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</si>
  <si>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</si>
  <si>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</si>
  <si>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</si>
  <si>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</si>
  <si>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</si>
  <si>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</si>
  <si>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</si>
  <si>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</si>
  <si>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</si>
  <si>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</si>
  <si>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</si>
  <si>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</si>
  <si>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</si>
  <si>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</si>
  <si>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</si>
  <si>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</si>
  <si>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</si>
  <si>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</si>
  <si>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</si>
  <si>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</si>
  <si>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</si>
  <si>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</si>
  <si>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</si>
  <si>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</si>
  <si>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</si>
  <si>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</si>
  <si>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</si>
  <si>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</si>
  <si>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</si>
  <si>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</si>
  <si>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</si>
  <si>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</si>
  <si>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</si>
  <si>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</si>
  <si>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</si>
  <si>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</si>
  <si>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</si>
  <si>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</si>
  <si>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</si>
  <si>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</si>
  <si>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</si>
  <si>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</si>
  <si>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</si>
  <si>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</si>
  <si>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</si>
  <si>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</si>
  <si>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</si>
  <si>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</si>
  <si>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</si>
  <si>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</si>
  <si>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</si>
  <si>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</si>
  <si>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</si>
  <si>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</si>
  <si>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</si>
  <si>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</si>
  <si>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</si>
  <si>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</si>
  <si>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</si>
  <si>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</si>
  <si>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</si>
  <si>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</si>
  <si>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</si>
  <si>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</si>
  <si>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</si>
  <si>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</si>
  <si>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</si>
  <si>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</si>
  <si>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</si>
  <si>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</si>
  <si>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</si>
  <si>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</si>
  <si>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</si>
  <si>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</si>
  <si>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</si>
  <si>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</si>
  <si>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</si>
  <si>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</si>
  <si>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</si>
  <si>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</si>
  <si>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</si>
  <si>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</si>
  <si>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</si>
  <si>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</si>
  <si>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</si>
  <si>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</si>
  <si>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</si>
  <si>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</si>
  <si>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</si>
  <si>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</si>
  <si>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</si>
  <si>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</si>
  <si>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</si>
  <si>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</si>
  <si>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</si>
  <si>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</si>
  <si>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</si>
  <si>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</si>
  <si>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</si>
  <si>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</si>
  <si>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</si>
  <si>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</si>
  <si>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</si>
  <si>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</si>
  <si>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</si>
  <si>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</si>
  <si>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</si>
  <si>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</si>
  <si>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</si>
  <si>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</si>
  <si>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</si>
  <si>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</si>
  <si>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</si>
  <si>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</si>
  <si>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</si>
  <si>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</si>
  <si>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</si>
  <si>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</si>
  <si>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</si>
  <si>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</si>
  <si>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</si>
  <si>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</si>
  <si>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</si>
  <si>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</si>
  <si>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</si>
  <si>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</si>
  <si>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</si>
  <si>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</si>
  <si>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</si>
  <si>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</si>
  <si>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</si>
  <si>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</si>
  <si>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</si>
  <si>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</si>
  <si>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</si>
  <si>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</si>
  <si>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</si>
  <si>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</si>
  <si>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</si>
  <si>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</si>
  <si>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</si>
  <si>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</si>
  <si>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</si>
  <si>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</si>
  <si>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</si>
  <si>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</si>
  <si>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</si>
  <si>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</si>
  <si>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</si>
  <si>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</si>
  <si>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</si>
  <si>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</si>
  <si>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</si>
  <si>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</si>
  <si>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</si>
  <si>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</si>
  <si>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</si>
  <si>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</si>
  <si>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</si>
  <si>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</si>
  <si>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</si>
  <si>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</si>
  <si>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</si>
  <si>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</si>
  <si>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</si>
  <si>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</si>
  <si>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</si>
  <si>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</si>
  <si>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</si>
  <si>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</si>
  <si>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</si>
  <si>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</si>
  <si>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</si>
  <si>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</si>
  <si>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</si>
  <si>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</si>
  <si>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</si>
  <si>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</si>
  <si>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</si>
  <si>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</si>
  <si>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</si>
  <si>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</si>
  <si>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</si>
  <si>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</si>
  <si>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</si>
  <si>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</si>
  <si>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</si>
  <si>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</si>
  <si>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</si>
  <si>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</si>
  <si>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</si>
  <si>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</si>
  <si>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</si>
  <si>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</si>
  <si>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</si>
  <si>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</si>
  <si>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</si>
  <si>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</si>
  <si>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</si>
  <si>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</si>
  <si>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</si>
  <si>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</si>
  <si>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</si>
  <si>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</si>
  <si>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</si>
  <si>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</si>
  <si>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</si>
  <si>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</si>
  <si>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</si>
  <si>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</si>
  <si>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</si>
  <si>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</si>
  <si>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</si>
  <si>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</si>
  <si>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</si>
  <si>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</si>
  <si>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</si>
  <si>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</si>
  <si>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</si>
  <si>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</si>
  <si>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</si>
  <si>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</si>
  <si>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</si>
  <si>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</si>
  <si>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</si>
  <si>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</si>
  <si>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</si>
  <si>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</si>
  <si>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</si>
  <si>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</si>
  <si>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</si>
  <si>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</si>
  <si>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</si>
  <si>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</si>
  <si>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</si>
  <si>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</si>
  <si>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</si>
  <si>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</si>
  <si>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</si>
  <si>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</si>
  <si>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</si>
  <si>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</si>
  <si>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</si>
  <si>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</si>
  <si>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</si>
  <si>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</si>
  <si>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</si>
  <si>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</si>
  <si>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</si>
  <si>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</si>
  <si>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</si>
  <si>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</si>
  <si>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</si>
  <si>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</si>
  <si>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</si>
  <si>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</si>
  <si>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</si>
  <si>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</si>
  <si>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</si>
  <si>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</si>
  <si>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</si>
  <si>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</si>
  <si>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</si>
  <si>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</si>
  <si>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</si>
  <si>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</si>
  <si>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</si>
  <si>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</si>
  <si>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</si>
  <si>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</si>
  <si>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</si>
  <si>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</si>
  <si>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</si>
  <si>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</si>
  <si>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</si>
  <si>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</si>
  <si>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</si>
  <si>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</si>
  <si>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</si>
  <si>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</si>
  <si>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</si>
  <si>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</si>
  <si>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</si>
  <si>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</si>
  <si>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</si>
  <si>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</si>
  <si>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</si>
  <si>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</si>
  <si>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</si>
  <si>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</si>
  <si>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</si>
  <si>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</si>
  <si>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</si>
  <si>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</si>
  <si>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</si>
  <si>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</si>
  <si>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</si>
  <si>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</si>
  <si>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</si>
  <si>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</si>
  <si>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</si>
  <si>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</si>
  <si>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</si>
  <si>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</si>
  <si>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</si>
  <si>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</si>
  <si>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</si>
  <si>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</si>
  <si>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</si>
  <si>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</si>
  <si>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</si>
  <si>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</si>
  <si>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</si>
  <si>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</si>
  <si>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</si>
  <si>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</si>
  <si>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</si>
  <si>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</si>
  <si>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</si>
  <si>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</si>
  <si>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</si>
  <si>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</si>
  <si>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</si>
  <si>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</si>
  <si>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</si>
  <si>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</si>
  <si>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</si>
  <si>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</si>
  <si>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</si>
  <si>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</si>
  <si>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</si>
  <si>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</si>
  <si>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</si>
  <si>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</si>
  <si>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</si>
  <si>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</si>
  <si>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</si>
  <si>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</si>
  <si>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</si>
  <si>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</si>
  <si>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</si>
  <si>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</si>
  <si>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</si>
  <si>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</si>
  <si>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</si>
  <si>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</si>
  <si>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</si>
  <si>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</si>
  <si>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</si>
  <si>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</si>
  <si>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</si>
  <si>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</si>
  <si>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</si>
  <si>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</si>
  <si>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</si>
  <si>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</si>
  <si>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</si>
  <si>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</si>
  <si>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</si>
  <si>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</si>
  <si>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</si>
  <si>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</si>
  <si>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</si>
  <si>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</si>
  <si>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</si>
  <si>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</si>
  <si>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</si>
  <si>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</si>
  <si>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</si>
  <si>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</si>
  <si>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</si>
  <si>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</si>
  <si>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</si>
  <si>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</si>
  <si>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</si>
  <si>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</si>
  <si>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</si>
  <si>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</si>
  <si>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</si>
  <si>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</si>
  <si>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</si>
  <si>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</si>
  <si>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</si>
  <si>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</si>
  <si>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</si>
  <si>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</si>
  <si>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</si>
  <si>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</si>
  <si>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</si>
  <si>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</si>
  <si>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</si>
  <si>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</si>
  <si>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</si>
  <si>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</si>
  <si>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</si>
  <si>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</si>
  <si>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</si>
  <si>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</si>
  <si>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</si>
  <si>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</si>
  <si>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</si>
  <si>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</si>
  <si>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</si>
  <si>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</si>
  <si>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</si>
  <si>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</si>
  <si>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</si>
  <si>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</si>
  <si>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</si>
  <si>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</si>
  <si>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</si>
  <si>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</si>
  <si>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</si>
  <si>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</si>
  <si>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</si>
  <si>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</si>
  <si>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</si>
  <si>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</si>
  <si>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</si>
  <si>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</si>
  <si>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</si>
  <si>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</si>
  <si>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</si>
  <si>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</si>
  <si>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</si>
  <si>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</si>
  <si>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</si>
  <si>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</si>
  <si>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</si>
  <si>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</si>
  <si>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</si>
  <si>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</si>
  <si>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</si>
  <si>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</si>
  <si>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</si>
  <si>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</si>
  <si>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</si>
  <si>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</si>
  <si>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</si>
  <si>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</si>
  <si>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</si>
  <si>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</si>
  <si>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</si>
  <si>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</si>
  <si>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</si>
  <si>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</si>
  <si>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</si>
  <si>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</si>
  <si>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</si>
  <si>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</si>
  <si>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</si>
  <si>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</si>
  <si>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</si>
  <si>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</si>
  <si>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</si>
  <si>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</si>
  <si>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</si>
  <si>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</si>
  <si>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</si>
  <si>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</si>
  <si>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</si>
  <si>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</si>
  <si>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</si>
  <si>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</si>
  <si>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</si>
  <si>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</si>
  <si>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</si>
  <si>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</si>
  <si>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</si>
  <si>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</si>
  <si>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</si>
  <si>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</si>
  <si>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</si>
  <si>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</si>
  <si>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</si>
  <si>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</si>
  <si>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</si>
  <si>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</si>
  <si>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</si>
  <si>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</si>
  <si>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</si>
  <si>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</si>
  <si>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</si>
  <si>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</si>
  <si>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</si>
  <si>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</si>
  <si>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</si>
  <si>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</si>
  <si>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</si>
  <si>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</si>
  <si>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</si>
  <si>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</si>
  <si>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</si>
  <si>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</si>
  <si>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</si>
  <si>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</si>
  <si>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</si>
  <si>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</si>
  <si>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</si>
  <si>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</si>
  <si>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</si>
  <si>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</si>
  <si>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</si>
  <si>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</si>
  <si>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</si>
  <si>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</si>
  <si>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</si>
  <si>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</si>
  <si>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</si>
  <si>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</si>
  <si>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</si>
  <si>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</si>
  <si>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</si>
  <si>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</si>
  <si>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</si>
  <si>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</si>
  <si>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</si>
  <si>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</si>
  <si>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</si>
  <si>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</si>
  <si>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</si>
  <si>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</si>
  <si>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</si>
  <si>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</si>
  <si>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</si>
  <si>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</si>
  <si>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</si>
  <si>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</si>
  <si>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</si>
  <si>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</si>
  <si>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</si>
  <si>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</si>
  <si>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</si>
  <si>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</si>
  <si>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</si>
  <si>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</si>
  <si>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</si>
  <si>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</si>
  <si>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</si>
  <si>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</si>
  <si>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</si>
  <si>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</si>
  <si>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</si>
  <si>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</si>
  <si>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</si>
  <si>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</si>
  <si>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</si>
  <si>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</si>
  <si>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</si>
  <si>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</si>
  <si>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</si>
  <si>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</si>
  <si>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</si>
  <si>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</si>
  <si>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</si>
  <si>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</si>
  <si>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</si>
  <si>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</si>
  <si>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</si>
  <si>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</si>
  <si>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</si>
  <si>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</si>
  <si>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</si>
  <si>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</si>
  <si>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</si>
  <si>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</si>
  <si>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</si>
  <si>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</si>
  <si>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</si>
  <si>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</si>
  <si>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</si>
  <si>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</si>
  <si>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</si>
  <si>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</si>
  <si>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</si>
  <si>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</si>
  <si>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</si>
  <si>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</si>
  <si>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</si>
  <si>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</si>
  <si>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</si>
  <si>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</si>
  <si>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</si>
  <si>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</si>
  <si>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</si>
  <si>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</si>
  <si>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</si>
  <si>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</si>
  <si>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</si>
  <si>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</si>
  <si>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</si>
  <si>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</si>
  <si>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</si>
  <si>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</si>
  <si>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</si>
  <si>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</si>
  <si>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</si>
  <si>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</si>
  <si>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</si>
  <si>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</si>
  <si>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</si>
  <si>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</si>
  <si>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</si>
  <si>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</si>
  <si>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</si>
  <si>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</si>
  <si>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</si>
  <si>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</si>
  <si>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</si>
  <si>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</si>
  <si>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</si>
  <si>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</si>
  <si>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</si>
  <si>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</si>
  <si>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</si>
  <si>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</si>
  <si>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</si>
  <si>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</si>
  <si>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</si>
  <si>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</si>
  <si>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</si>
  <si>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</si>
  <si>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</si>
  <si>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</si>
  <si>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</si>
  <si>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</si>
  <si>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</si>
  <si>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</si>
  <si>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</si>
  <si>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</si>
  <si>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</si>
  <si>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</si>
  <si>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</si>
  <si>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</si>
  <si>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</si>
  <si>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</si>
  <si>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</si>
  <si>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</si>
  <si>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</si>
  <si>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</si>
  <si>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</si>
  <si>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</si>
  <si>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</si>
  <si>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</si>
  <si>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</si>
  <si>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</si>
  <si>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</si>
  <si>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</si>
  <si>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</si>
  <si>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</si>
  <si>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</si>
  <si>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</si>
  <si>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</si>
  <si>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</si>
  <si>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</si>
  <si>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</si>
  <si>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</si>
  <si>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</si>
  <si>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</si>
  <si>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</si>
  <si>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</si>
  <si>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</si>
  <si>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</si>
  <si>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</si>
  <si>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</si>
  <si>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</si>
  <si>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</si>
  <si>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</si>
  <si>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</si>
  <si>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</si>
  <si>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</si>
  <si>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</si>
  <si>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</si>
  <si>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</si>
  <si>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</si>
  <si>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</si>
  <si>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</si>
  <si>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</si>
  <si>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</si>
  <si>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</si>
  <si>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</si>
  <si>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</si>
  <si>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</si>
  <si>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</si>
  <si>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</si>
  <si>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</si>
  <si>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</si>
  <si>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</si>
  <si>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</si>
  <si>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</si>
  <si>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</si>
  <si>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</si>
  <si>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</si>
  <si>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</si>
  <si>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</si>
  <si>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</si>
  <si>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</si>
  <si>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</si>
  <si>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</si>
  <si>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</si>
  <si>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</si>
  <si>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</si>
  <si>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</si>
  <si>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</si>
  <si>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</si>
  <si>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</si>
  <si>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</si>
  <si>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</si>
  <si>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</si>
  <si>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</si>
  <si>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</si>
  <si>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</si>
  <si>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</si>
  <si>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</si>
  <si>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</si>
  <si>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</si>
  <si>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</si>
  <si>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</si>
  <si>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</si>
  <si>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</si>
  <si>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</si>
  <si>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</si>
  <si>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</si>
  <si>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</si>
  <si>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</si>
  <si>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</si>
  <si>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</si>
  <si>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</si>
  <si>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</si>
  <si>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</si>
  <si>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</si>
  <si>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</si>
  <si>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</si>
  <si>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</si>
  <si>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</si>
  <si>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</si>
  <si>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</si>
  <si>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</si>
  <si>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</si>
  <si>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</si>
  <si>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</si>
  <si>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</si>
  <si>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</si>
  <si>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</si>
  <si>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</si>
  <si>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</si>
  <si>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</si>
  <si>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</si>
  <si>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</si>
  <si>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</si>
  <si>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</si>
  <si>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</si>
  <si>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</si>
  <si>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</si>
  <si>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</si>
  <si>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</si>
  <si>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</si>
  <si>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</si>
  <si>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</si>
  <si>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</si>
  <si>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</si>
  <si>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</si>
  <si>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</si>
  <si>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</si>
  <si>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</si>
  <si>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</si>
  <si>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</si>
  <si>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</si>
  <si>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</si>
  <si>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</si>
  <si>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</si>
  <si>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</si>
  <si>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</si>
  <si>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</si>
  <si>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</si>
  <si>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</si>
  <si>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</si>
  <si>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</si>
  <si>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</si>
  <si>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</si>
  <si>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</si>
  <si>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</si>
  <si>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</si>
  <si>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</si>
  <si>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</si>
  <si>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</si>
  <si>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</si>
  <si>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</si>
  <si>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</si>
  <si>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</si>
  <si>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</si>
  <si>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</si>
  <si>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</si>
  <si>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</si>
  <si>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</si>
  <si>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</si>
  <si>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</si>
  <si>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</si>
  <si>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</si>
  <si>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</si>
  <si>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</si>
  <si>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</si>
  <si>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</si>
  <si>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</si>
  <si>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</si>
  <si>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</si>
  <si>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</si>
  <si>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</si>
  <si>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</si>
  <si>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</si>
  <si>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</si>
  <si>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</si>
  <si>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</si>
  <si>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</si>
  <si>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</si>
  <si>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</si>
  <si>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</si>
  <si>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</si>
  <si>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</si>
  <si>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</si>
  <si>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</si>
  <si>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</si>
  <si>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</si>
  <si>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</si>
  <si>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</si>
  <si>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</si>
  <si>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</si>
  <si>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</si>
  <si>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</si>
  <si>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</si>
  <si>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</si>
  <si>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</si>
  <si>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</si>
  <si>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</si>
  <si>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</si>
  <si>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</si>
  <si>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</si>
  <si>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</si>
  <si>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</si>
  <si>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</si>
  <si>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</si>
  <si>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</si>
  <si>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</si>
  <si>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</si>
  <si>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</si>
  <si>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</si>
  <si>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</si>
  <si>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</si>
  <si>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</si>
  <si>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</si>
  <si>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</si>
  <si>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</si>
  <si>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</si>
  <si>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</si>
  <si>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</si>
  <si>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</si>
  <si>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</si>
  <si>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</si>
  <si>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</si>
  <si>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</si>
  <si>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</si>
  <si>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</si>
  <si>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</si>
  <si>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</si>
  <si>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</si>
  <si>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</si>
  <si>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</si>
  <si>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</si>
  <si>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</si>
  <si>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</si>
  <si>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</si>
  <si>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</si>
  <si>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</si>
  <si>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</si>
  <si>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</si>
  <si>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</si>
  <si>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</si>
  <si>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</si>
  <si>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</si>
  <si>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</si>
  <si>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</si>
  <si>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</si>
  <si>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</si>
  <si>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</si>
  <si>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</si>
  <si>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</si>
  <si>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</si>
  <si>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</si>
  <si>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</si>
  <si>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</si>
  <si>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</si>
  <si>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</si>
  <si>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</si>
  <si>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</si>
  <si>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</si>
  <si>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</si>
  <si>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</si>
  <si>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</si>
  <si>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</si>
  <si>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</si>
  <si>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</si>
  <si>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</si>
  <si>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</si>
  <si>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</si>
  <si>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</si>
  <si>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</si>
  <si>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</si>
  <si>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</si>
  <si>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</si>
  <si>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</si>
  <si>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</si>
  <si>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</si>
  <si>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</si>
  <si>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</si>
  <si>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</si>
  <si>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</si>
  <si>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</si>
  <si>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</si>
  <si>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</si>
  <si>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</si>
  <si>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</si>
  <si>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</si>
  <si>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</si>
  <si>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</si>
  <si>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</si>
  <si>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</si>
  <si>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</si>
  <si>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</si>
  <si>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</si>
  <si>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</si>
  <si>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</si>
  <si>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</si>
  <si>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</si>
  <si>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</si>
  <si>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</si>
  <si>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</si>
  <si>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</si>
  <si>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</si>
  <si>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</si>
  <si>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</si>
  <si>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</si>
  <si>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</si>
  <si>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</si>
  <si>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</si>
  <si>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</si>
  <si>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</si>
  <si>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</si>
  <si>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</si>
  <si>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</si>
  <si>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</si>
  <si>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</si>
  <si>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</si>
  <si>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</si>
  <si>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</si>
  <si>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</si>
  <si>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</si>
  <si>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</si>
  <si>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</si>
  <si>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</si>
  <si>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</si>
  <si>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</si>
  <si>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</si>
  <si>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</si>
  <si>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</si>
  <si>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</si>
  <si>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</si>
  <si>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</si>
  <si>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</si>
  <si>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</si>
  <si>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</si>
  <si>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</si>
  <si>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</si>
  <si>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</si>
  <si>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</si>
  <si>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</si>
  <si>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</si>
  <si>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</si>
  <si>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</si>
  <si>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</si>
  <si>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</si>
  <si>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</si>
  <si>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</si>
  <si>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</si>
  <si>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</si>
  <si>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</si>
  <si>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</si>
  <si>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</si>
  <si>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</si>
  <si>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</si>
  <si>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</si>
  <si>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</si>
  <si>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</si>
  <si>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</si>
  <si>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</si>
  <si>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</si>
  <si>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</si>
  <si>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</si>
  <si>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</si>
  <si>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</si>
  <si>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</si>
  <si>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</si>
  <si>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</si>
  <si>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</si>
  <si>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</si>
  <si>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</si>
  <si>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</si>
  <si>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</si>
  <si>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</si>
  <si>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</si>
  <si>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</si>
  <si>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</si>
  <si>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</si>
  <si>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</si>
  <si>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</si>
  <si>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</si>
  <si>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</si>
  <si>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</si>
  <si>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</si>
  <si>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</si>
  <si>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</si>
  <si>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</si>
  <si>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</si>
  <si>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</si>
  <si>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</si>
  <si>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</si>
  <si>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</si>
  <si>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</si>
  <si>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</si>
  <si>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</si>
  <si>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</si>
  <si>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</si>
  <si>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</si>
  <si>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</si>
  <si>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</si>
  <si>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</si>
  <si>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</si>
  <si>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</si>
  <si>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</si>
  <si>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</si>
  <si>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</si>
  <si>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</si>
  <si>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</si>
  <si>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</si>
  <si>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</si>
  <si>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</si>
  <si>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</si>
  <si>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</si>
  <si>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</si>
  <si>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</si>
  <si>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</si>
  <si>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</si>
  <si>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</si>
  <si>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</si>
  <si>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</si>
  <si>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</si>
  <si>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</si>
  <si>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</si>
  <si>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</si>
  <si>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</si>
  <si>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</si>
  <si>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</si>
  <si>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</si>
  <si>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</si>
  <si>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</si>
  <si>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</si>
  <si>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</si>
  <si>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</si>
  <si>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</si>
  <si>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</si>
  <si>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</si>
  <si>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</si>
  <si>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</si>
  <si>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</si>
  <si>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</si>
  <si>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</si>
  <si>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</si>
  <si>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</si>
  <si>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</si>
  <si>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</si>
  <si>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</si>
  <si>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</si>
  <si>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</si>
  <si>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</si>
  <si>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</si>
  <si>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</si>
  <si>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</si>
  <si>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</si>
  <si>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</si>
  <si>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</si>
  <si>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</si>
  <si>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</si>
  <si>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</si>
  <si>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</si>
  <si>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</si>
  <si>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</si>
  <si>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</si>
  <si>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</si>
  <si>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</si>
  <si>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</si>
  <si>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</si>
  <si>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</si>
  <si>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</si>
  <si>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</si>
  <si>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</si>
  <si>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</si>
  <si>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</si>
  <si>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</si>
  <si>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</si>
  <si>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</si>
  <si>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</si>
  <si>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</si>
  <si>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</si>
  <si>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</si>
  <si>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</si>
  <si>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</si>
  <si>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</si>
  <si>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</si>
  <si>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</si>
  <si>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</si>
  <si>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</si>
  <si>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</si>
  <si>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</si>
  <si>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</si>
  <si>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</si>
  <si>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</si>
  <si>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</si>
  <si>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</si>
  <si>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</si>
  <si>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</si>
  <si>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</si>
  <si>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</si>
  <si>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</si>
  <si>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</si>
  <si>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</si>
  <si>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</si>
  <si>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</si>
  <si>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</si>
  <si>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</si>
  <si>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</si>
  <si>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</si>
  <si>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</si>
  <si>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</si>
  <si>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</si>
  <si>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</si>
  <si>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</si>
  <si>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</si>
  <si>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</si>
  <si>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</si>
  <si>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</si>
  <si>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</si>
  <si>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</si>
  <si>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</si>
  <si>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</si>
  <si>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</si>
  <si>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</si>
  <si>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</si>
  <si>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</si>
  <si>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</si>
  <si>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</si>
  <si>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</si>
  <si>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</si>
  <si>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</si>
  <si>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</si>
  <si>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</si>
  <si>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</si>
  <si>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</si>
  <si>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</si>
  <si>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</si>
  <si>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</si>
  <si>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</si>
  <si>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</si>
  <si>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</si>
  <si>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</si>
  <si>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</si>
  <si>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</si>
  <si>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</si>
  <si>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</si>
  <si>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</si>
  <si>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</si>
  <si>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</si>
  <si>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</si>
  <si>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</si>
  <si>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</si>
  <si>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</si>
  <si>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</si>
  <si>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</si>
  <si>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</si>
  <si>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</si>
  <si>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</si>
  <si>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</si>
  <si>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</si>
  <si>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</si>
  <si>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</si>
  <si>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</si>
  <si>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</si>
  <si>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</si>
  <si>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</si>
  <si>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</si>
  <si>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</si>
  <si>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</si>
  <si>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</si>
  <si>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</si>
  <si>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</si>
  <si>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</si>
  <si>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</si>
  <si>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</si>
  <si>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</si>
  <si>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</si>
  <si>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</si>
  <si>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</si>
  <si>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</si>
  <si>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</si>
  <si>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</si>
  <si>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</si>
  <si>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</si>
  <si>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</si>
  <si>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</si>
  <si>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</si>
  <si>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</si>
  <si>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</si>
  <si>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</si>
  <si>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</si>
  <si>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</si>
  <si>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</si>
  <si>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</si>
  <si>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</si>
  <si>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</si>
  <si>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</si>
  <si>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</si>
  <si>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</si>
  <si>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</si>
  <si>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</si>
  <si>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</si>
  <si>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</si>
  <si>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</si>
  <si>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</si>
  <si>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</si>
  <si>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</si>
  <si>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</si>
  <si>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</si>
  <si>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</si>
  <si>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</si>
  <si>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</si>
  <si>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</si>
  <si>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</si>
  <si>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</si>
  <si>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</si>
  <si>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</si>
  <si>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</si>
  <si>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</si>
  <si>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</si>
  <si>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</si>
  <si>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</si>
  <si>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</si>
  <si>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</si>
  <si>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</si>
  <si>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</si>
  <si>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</si>
  <si>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</si>
  <si>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</si>
  <si>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</si>
  <si>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</si>
  <si>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</si>
  <si>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</si>
  <si>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</si>
  <si>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</si>
  <si>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</si>
  <si>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</si>
  <si>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</si>
  <si>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</si>
  <si>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</si>
  <si>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</si>
  <si>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</si>
  <si>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</si>
  <si>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</si>
  <si>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</si>
  <si>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</si>
  <si>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</si>
  <si>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</si>
  <si>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</si>
  <si>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</si>
  <si>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</si>
  <si>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</si>
  <si>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</si>
  <si>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</si>
  <si>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</si>
  <si>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</si>
  <si>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</si>
  <si>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</si>
  <si>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</si>
  <si>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</si>
  <si>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</si>
  <si>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</si>
  <si>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</si>
  <si>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</si>
  <si>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</si>
  <si>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</si>
  <si>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</si>
  <si>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</si>
  <si>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</si>
  <si>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</si>
  <si>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</si>
  <si>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</si>
  <si>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</si>
  <si>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</si>
  <si>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</si>
  <si>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</si>
  <si>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</si>
  <si>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</si>
  <si>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</si>
  <si>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</si>
  <si>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</si>
  <si>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</si>
  <si>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</si>
  <si>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</si>
  <si>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</si>
  <si>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</si>
  <si>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</si>
  <si>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</si>
  <si>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</si>
  <si>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</si>
  <si>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</si>
  <si>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</si>
  <si>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</si>
  <si>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</si>
  <si>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</si>
  <si>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</si>
  <si>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</si>
  <si>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</si>
  <si>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</si>
  <si>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</si>
  <si>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</si>
  <si>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</si>
  <si>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</si>
  <si>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</si>
  <si>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</si>
  <si>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</si>
  <si>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</si>
  <si>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</si>
  <si>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</si>
  <si>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</si>
  <si>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</si>
  <si>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</si>
  <si>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</si>
  <si>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</si>
  <si>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</si>
  <si>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</si>
  <si>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</si>
  <si>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</si>
  <si>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</si>
  <si>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</si>
  <si>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</si>
  <si>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</si>
  <si>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</si>
  <si>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</si>
  <si>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</si>
  <si>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</si>
  <si>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</si>
  <si>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</si>
  <si>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</si>
  <si>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</si>
  <si>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</si>
  <si>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</si>
  <si>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</si>
  <si>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</si>
  <si>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</si>
  <si>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</si>
  <si>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</si>
  <si>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</si>
  <si>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</si>
  <si>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</si>
  <si>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</si>
  <si>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</si>
  <si>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</si>
  <si>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</si>
  <si>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</si>
  <si>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</si>
  <si>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</si>
  <si>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</si>
  <si>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</si>
  <si>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</si>
  <si>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</si>
  <si>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</si>
  <si>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</si>
  <si>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</si>
  <si>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</si>
  <si>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</si>
  <si>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</si>
  <si>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</si>
  <si>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</si>
  <si>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</si>
  <si>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</si>
  <si>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</si>
  <si>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</si>
  <si>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</si>
  <si>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</si>
  <si>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</si>
  <si>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</si>
  <si>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</si>
  <si>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</si>
  <si>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</si>
  <si>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</si>
  <si>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</si>
  <si>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</si>
  <si>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</si>
  <si>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</si>
  <si>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</si>
  <si>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</si>
  <si>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</si>
  <si>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</si>
  <si>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</si>
  <si>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</si>
  <si>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</si>
  <si>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</si>
  <si>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</si>
  <si>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</si>
  <si>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</si>
  <si>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</si>
  <si>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</si>
  <si>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</si>
  <si>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</si>
  <si>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</si>
  <si>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</si>
  <si>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</si>
  <si>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</si>
  <si>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</si>
  <si>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</si>
  <si>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</si>
  <si>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</si>
  <si>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</si>
  <si>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</si>
  <si>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</si>
  <si>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</si>
  <si>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</si>
  <si>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</si>
  <si>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</si>
  <si>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</si>
  <si>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</si>
  <si>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</si>
  <si>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</si>
  <si>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</si>
  <si>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</si>
  <si>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</si>
  <si>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</si>
  <si>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</si>
  <si>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</si>
  <si>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</si>
  <si>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</si>
  <si>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</si>
  <si>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</si>
  <si>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</si>
  <si>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</si>
  <si>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</si>
  <si>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</si>
  <si>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</si>
  <si>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</si>
  <si>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</si>
  <si>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</si>
  <si>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</si>
  <si>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</si>
  <si>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</si>
  <si>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</si>
  <si>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</si>
  <si>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</si>
  <si>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</si>
  <si>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</si>
  <si>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</si>
  <si>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</si>
  <si>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</si>
  <si>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</si>
  <si>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</si>
  <si>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</si>
  <si>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</si>
  <si>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</si>
  <si>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</si>
  <si>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</si>
  <si>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</si>
  <si>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</si>
  <si>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</si>
  <si>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</si>
  <si>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</si>
  <si>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</si>
  <si>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</si>
  <si>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</si>
  <si>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</si>
  <si>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</si>
  <si>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</si>
  <si>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</si>
  <si>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</si>
  <si>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</si>
  <si>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</si>
  <si>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</si>
  <si>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</si>
  <si>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</si>
  <si>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</si>
  <si>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</si>
  <si>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</si>
  <si>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</si>
  <si>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</si>
  <si>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</si>
  <si>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</si>
  <si>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</si>
  <si>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</si>
  <si>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</si>
  <si>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</si>
  <si>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</si>
  <si>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</si>
  <si>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</si>
  <si>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</si>
  <si>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</si>
  <si>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</si>
  <si>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</si>
  <si>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</si>
  <si>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</si>
  <si>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</si>
  <si>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</si>
  <si>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</si>
  <si>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</si>
  <si>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</si>
  <si>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</si>
  <si>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</si>
  <si>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</si>
  <si>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</si>
  <si>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</si>
  <si>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</si>
  <si>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</si>
  <si>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</si>
  <si>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</si>
  <si>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</si>
  <si>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</si>
  <si>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</si>
  <si>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</si>
  <si>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</si>
  <si>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</si>
  <si>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</si>
  <si>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</si>
  <si>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</si>
  <si>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</si>
  <si>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</si>
  <si>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</si>
  <si>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</si>
  <si>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</si>
  <si>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</si>
  <si>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</si>
  <si>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</si>
  <si>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</si>
  <si>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</si>
  <si>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</si>
  <si>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</si>
  <si>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</si>
  <si>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</si>
  <si>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</si>
  <si>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</si>
  <si>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</si>
  <si>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</si>
  <si>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</si>
  <si>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</si>
  <si>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</si>
  <si>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</si>
  <si>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</si>
  <si>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</si>
  <si>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</si>
  <si>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</si>
  <si>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</si>
  <si>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</si>
  <si>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</si>
  <si>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</si>
  <si>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</si>
  <si>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</si>
  <si>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</si>
  <si>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</si>
  <si>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</si>
  <si>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</si>
  <si>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</si>
  <si>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</si>
  <si>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</si>
  <si>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</si>
  <si>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</si>
  <si>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</si>
  <si>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</si>
  <si>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</si>
  <si>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</si>
  <si>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</si>
  <si>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</si>
  <si>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</si>
  <si>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</si>
  <si>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</si>
  <si>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</si>
  <si>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</si>
  <si>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</si>
  <si>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</si>
  <si>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</si>
  <si>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</si>
  <si>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</si>
  <si>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</si>
  <si>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</si>
  <si>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</si>
  <si>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</si>
  <si>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</si>
  <si>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</si>
  <si>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</si>
  <si>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</si>
  <si>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</si>
  <si>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</si>
  <si>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</si>
  <si>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</si>
  <si>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</si>
  <si>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</si>
  <si>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</si>
  <si>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</si>
  <si>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</si>
  <si>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</si>
  <si>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</si>
  <si>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</si>
  <si>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</si>
  <si>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</si>
  <si>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</si>
  <si>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</si>
  <si>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</si>
  <si>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</si>
  <si>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Contrato Nº 003 - 2016</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</si>
  <si>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</si>
  <si>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Contrato Nº 006 - 2017</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</si>
  <si>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</si>
  <si>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Contrato Nº 027 - 2017</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</si>
  <si>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</si>
  <si>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Contrato Nº 012 - 2018</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</si>
  <si>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</si>
  <si>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Contrato N°ALDQ 009 - 2019</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</si>
  <si>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</si>
  <si>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</si>
  <si>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131-2020</t>
  </si>
  <si>
    <t>130-2020</t>
  </si>
  <si>
    <t>119-2020</t>
  </si>
  <si>
    <t>1'00%</t>
  </si>
  <si>
    <t>114-2020</t>
  </si>
  <si>
    <t>Prestar los servicios de educación inicial en el marco de la atención integral en Centros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</si>
  <si>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0370-2020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</si>
  <si>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</si>
  <si>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0427-2020</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</si>
  <si>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t>
  </si>
  <si>
    <t>JESUS DARIO JARAMILLO ZEA</t>
  </si>
  <si>
    <t>Calle 50 Nro. 51-29 - MEDELLIN</t>
  </si>
  <si>
    <t xml:space="preserve">310 417 58 67 </t>
  </si>
  <si>
    <t>Calle 50 Nro. 51-29</t>
  </si>
  <si>
    <t>conucol2016@gmail.com</t>
  </si>
  <si>
    <t>0425-2020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</si>
  <si>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t>
  </si>
  <si>
    <t>0388-2020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</si>
  <si>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</si>
  <si>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</si>
  <si>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MUNICIPIO DE CANTON SAN PABLO</t>
  </si>
  <si>
    <t>MUNICIPIO DE RIO QUITO</t>
  </si>
  <si>
    <t>MUNICIPIOS DE RIO QUITO</t>
  </si>
  <si>
    <t>CONSEJO COMUNITARIO CANTON DE SAN PABLO</t>
  </si>
  <si>
    <t>MUNICIPIO DE QUIBDO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</si>
  <si>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</si>
  <si>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2021-11-10000222</t>
  </si>
  <si>
    <t>BOGOTA SIN INDIFERENCIA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</si>
</sst>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7" zoomScale="80" zoomScaleNormal="8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58" t="s">
        <v>2762</v>
      </c>
      <c r="G20" s="5"/>
      <c r="H20" s="214"/>
      <c r="I20" s="145" t="s">
        <v>1156</v>
      </c>
      <c r="J20" s="146" t="s">
        <v>188</v>
      </c>
      <c r="K20" s="147">
        <v>1044122504</v>
      </c>
      <c r="L20" s="148">
        <v>44221</v>
      </c>
      <c r="M20" s="148">
        <v>44561</v>
      </c>
      <c r="N20" s="131">
        <f>+(M20-L20)/30</f>
        <v>11.333333333333334</v>
      </c>
      <c r="O20" s="134"/>
      <c r="U20" s="130"/>
      <c r="V20" s="107">
        <f ca="1">NOW()</f>
        <v>44193.710468518519</v>
      </c>
      <c r="W20" s="107">
        <f ca="1">NOW()</f>
        <v>44193.710468518519</v>
      </c>
    </row>
    <row r="21" spans="1:23" ht="30" customHeight="1" outlineLevel="1" x14ac:dyDescent="0.25">
      <c r="A21" s="9"/>
      <c r="B21" s="72"/>
      <c r="C21" s="5"/>
      <c r="D21" s="5"/>
      <c r="E21" s="5"/>
      <c r="F21" s="5"/>
      <c r="G21" s="5"/>
      <c r="H21" s="71"/>
      <c r="I21" s="145"/>
      <c r="J21" s="146"/>
      <c r="K21" s="147"/>
      <c r="L21" s="148"/>
      <c r="M21" s="148"/>
      <c r="N21" s="131">
        <f t="shared" ref="N21:N35" si="0">+(M21-L21)/30</f>
        <v>0</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2754</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2754</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2754</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2754</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2754</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2754</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2754</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2754</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2754</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2754</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2754</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2754</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2754</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2754</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2754</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2754</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2754</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2754</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2754</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2754</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2754</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2754</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2754</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2754</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2754</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2754</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2754</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2754</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2754</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2754</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2754</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2754</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2754</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2754</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2754</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2754</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2754</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2754</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2754</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2754</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2754</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2754</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2754</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2754</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2754</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2754</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2754</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2754</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2754</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2754</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1E-3</v>
      </c>
      <c r="G179" s="175">
        <f>IF(F179&gt;0,SUM(E179+F179),"")</f>
        <v>2.1000000000000001E-2</v>
      </c>
      <c r="H179" s="5"/>
      <c r="I179" s="240" t="s">
        <v>2675</v>
      </c>
      <c r="J179" s="241"/>
      <c r="K179" s="241"/>
      <c r="L179" s="242"/>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2.1000000000000001E-2</v>
      </c>
      <c r="D185" s="93" t="s">
        <v>2633</v>
      </c>
      <c r="E185" s="96">
        <f>+(C185*SUM(K20:K35))</f>
        <v>21926572.584000003</v>
      </c>
      <c r="F185" s="94"/>
      <c r="G185" s="95"/>
      <c r="H185" s="90"/>
      <c r="I185" s="92" t="s">
        <v>2632</v>
      </c>
      <c r="J185" s="180">
        <f>M179</f>
        <v>0.02</v>
      </c>
      <c r="K185" s="233" t="s">
        <v>2633</v>
      </c>
      <c r="L185" s="233"/>
      <c r="M185" s="96">
        <f>+J185*K20</f>
        <v>20882450.080000002</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0: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9" zoomScale="85" zoomScaleNormal="85" zoomScaleSheetLayoutView="40" zoomScalePageLayoutView="40" workbookViewId="0">
      <selection activeCell="H179" sqref="H17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2761</v>
      </c>
      <c r="D15" s="35"/>
      <c r="E15" s="35"/>
      <c r="F15" s="5"/>
      <c r="G15" s="32" t="s">
        <v>1168</v>
      </c>
      <c r="H15" s="105" t="s">
        <v>187</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900968008</v>
      </c>
      <c r="C20" s="5"/>
      <c r="D20" s="164"/>
      <c r="E20" s="156" t="s">
        <v>2670</v>
      </c>
      <c r="F20" s="158" t="s">
        <v>2762</v>
      </c>
      <c r="G20" s="5"/>
      <c r="H20" s="214"/>
      <c r="I20" s="145" t="s">
        <v>1156</v>
      </c>
      <c r="J20" s="146" t="s">
        <v>188</v>
      </c>
      <c r="K20" s="147">
        <v>1044122504</v>
      </c>
      <c r="L20" s="148">
        <v>44221</v>
      </c>
      <c r="M20" s="148">
        <v>44561</v>
      </c>
      <c r="N20" s="131">
        <f>+(M20-L20)/30</f>
        <v>11.333333333333334</v>
      </c>
      <c r="O20" s="134"/>
      <c r="U20" s="130"/>
      <c r="V20" s="107">
        <f ca="1">NOW()</f>
        <v>44193.710468518519</v>
      </c>
      <c r="W20" s="107">
        <f ca="1">NOW()</f>
        <v>44193.710468518519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CORPORACIÓN LA NUEVA COLOMBIA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2760</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2755</v>
      </c>
      <c r="C48" s="122" t="s">
        <v>31</v>
      </c>
      <c r="D48" s="119" t="s">
        <v>2724</v>
      </c>
      <c r="E48" s="196">
        <v>42491</v>
      </c>
      <c r="F48" s="196">
        <v>42727</v>
      </c>
      <c r="G48" s="168">
        <f>IF(AND(E48&lt;&gt;"",F48&lt;&gt;""),((F48-E48)/30),"")</f>
        <v>7.8666666666666663</v>
      </c>
      <c r="H48" s="120" t="s">
        <v>2725</v>
      </c>
      <c r="I48" s="119" t="s">
        <v>628</v>
      </c>
      <c r="J48" s="119" t="s">
        <v>639</v>
      </c>
      <c r="K48" s="121">
        <v>74000000</v>
      </c>
      <c r="L48" s="122" t="s">
        <v>2683</v>
      </c>
      <c r="M48" s="177">
        <v>1</v>
      </c>
      <c r="N48" s="122" t="s">
        <v>27</v>
      </c>
      <c r="O48" s="122" t="s">
        <v>2684</v>
      </c>
      <c r="P48" s="80"/>
    </row>
    <row r="49" spans="1:16" s="6" customFormat="1" ht="24.75" customHeight="1" x14ac:dyDescent="0.25">
      <c r="A49" s="139">
        <v>2</v>
      </c>
      <c r="B49" s="120" t="s">
        <v>2756</v>
      </c>
      <c r="C49" s="122" t="s">
        <v>31</v>
      </c>
      <c r="D49" s="119" t="s">
        <v>2726</v>
      </c>
      <c r="E49" s="196">
        <v>42744</v>
      </c>
      <c r="F49" s="196">
        <v>42972</v>
      </c>
      <c r="G49" s="168">
        <f t="shared" ref="G49:G107" si="1">IF(AND(E49&lt;&gt;"",F49&lt;&gt;""),((F49-E49)/30),"")</f>
        <v>7.6</v>
      </c>
      <c r="H49" s="197" t="s">
        <v>2727</v>
      </c>
      <c r="I49" s="119" t="s">
        <v>628</v>
      </c>
      <c r="J49" s="119" t="s">
        <v>654</v>
      </c>
      <c r="K49" s="121">
        <v>849134399</v>
      </c>
      <c r="L49" s="122" t="s">
        <v>2683</v>
      </c>
      <c r="M49" s="177">
        <v>1</v>
      </c>
      <c r="N49" s="122" t="s">
        <v>27</v>
      </c>
      <c r="O49" s="122" t="s">
        <v>2684</v>
      </c>
      <c r="P49" s="80"/>
    </row>
    <row r="50" spans="1:16" s="6" customFormat="1" ht="24.75" customHeight="1" x14ac:dyDescent="0.25">
      <c r="A50" s="139">
        <v>3</v>
      </c>
      <c r="B50" s="120" t="s">
        <v>2757</v>
      </c>
      <c r="C50" s="122" t="s">
        <v>31</v>
      </c>
      <c r="D50" s="119" t="s">
        <v>2728</v>
      </c>
      <c r="E50" s="196">
        <v>42863</v>
      </c>
      <c r="F50" s="196">
        <v>43081</v>
      </c>
      <c r="G50" s="168">
        <f t="shared" si="1"/>
        <v>7.2666666666666666</v>
      </c>
      <c r="H50" s="120" t="s">
        <v>2729</v>
      </c>
      <c r="I50" s="119" t="s">
        <v>628</v>
      </c>
      <c r="J50" s="119" t="s">
        <v>654</v>
      </c>
      <c r="K50" s="121">
        <v>48143411</v>
      </c>
      <c r="L50" s="122" t="s">
        <v>2683</v>
      </c>
      <c r="M50" s="177">
        <v>1</v>
      </c>
      <c r="N50" s="122" t="s">
        <v>27</v>
      </c>
      <c r="O50" s="122" t="s">
        <v>2684</v>
      </c>
      <c r="P50" s="80"/>
    </row>
    <row r="51" spans="1:16" s="6" customFormat="1" ht="24.75" customHeight="1" outlineLevel="1" x14ac:dyDescent="0.25">
      <c r="A51" s="139">
        <v>4</v>
      </c>
      <c r="B51" s="120" t="s">
        <v>2758</v>
      </c>
      <c r="C51" s="122" t="s">
        <v>31</v>
      </c>
      <c r="D51" s="119" t="s">
        <v>2730</v>
      </c>
      <c r="E51" s="196">
        <v>43110</v>
      </c>
      <c r="F51" s="196">
        <v>43476</v>
      </c>
      <c r="G51" s="168">
        <f t="shared" si="1"/>
        <v>12.2</v>
      </c>
      <c r="H51" s="120" t="s">
        <v>2731</v>
      </c>
      <c r="I51" s="119" t="s">
        <v>628</v>
      </c>
      <c r="J51" s="119" t="s">
        <v>639</v>
      </c>
      <c r="K51" s="117">
        <v>103772375</v>
      </c>
      <c r="L51" s="122" t="s">
        <v>2683</v>
      </c>
      <c r="M51" s="177">
        <v>1</v>
      </c>
      <c r="N51" s="122" t="s">
        <v>27</v>
      </c>
      <c r="O51" s="122" t="s">
        <v>2684</v>
      </c>
      <c r="P51" s="80"/>
    </row>
    <row r="52" spans="1:16" s="7" customFormat="1" ht="24.75" customHeight="1" outlineLevel="1" x14ac:dyDescent="0.25">
      <c r="A52" s="140">
        <v>5</v>
      </c>
      <c r="B52" s="120" t="s">
        <v>2759</v>
      </c>
      <c r="C52" s="122" t="s">
        <v>31</v>
      </c>
      <c r="D52" s="119" t="s">
        <v>2732</v>
      </c>
      <c r="E52" s="196">
        <v>43479</v>
      </c>
      <c r="F52" s="196">
        <v>43738</v>
      </c>
      <c r="G52" s="168">
        <f t="shared" si="1"/>
        <v>8.6333333333333329</v>
      </c>
      <c r="H52" s="120" t="s">
        <v>2733</v>
      </c>
      <c r="I52" s="119" t="s">
        <v>628</v>
      </c>
      <c r="J52" s="119" t="s">
        <v>630</v>
      </c>
      <c r="K52" s="117">
        <v>873894252</v>
      </c>
      <c r="L52" s="122" t="s">
        <v>2683</v>
      </c>
      <c r="M52" s="177">
        <v>1</v>
      </c>
      <c r="N52" s="122" t="s">
        <v>27</v>
      </c>
      <c r="O52" s="122" t="s">
        <v>2684</v>
      </c>
      <c r="P52" s="81"/>
    </row>
    <row r="53" spans="1:16" s="7" customFormat="1" ht="24.75" customHeight="1" outlineLevel="1" x14ac:dyDescent="0.25">
      <c r="A53" s="140">
        <v>6</v>
      </c>
      <c r="B53" s="120" t="s">
        <v>2754</v>
      </c>
      <c r="C53" s="122" t="s">
        <v>31</v>
      </c>
      <c r="D53" s="119" t="s">
        <v>2735</v>
      </c>
      <c r="E53" s="196">
        <v>43887</v>
      </c>
      <c r="F53" s="196">
        <v>44196</v>
      </c>
      <c r="G53" s="168">
        <f t="shared" si="1"/>
        <v>10.3</v>
      </c>
      <c r="H53" s="118" t="s">
        <v>2734</v>
      </c>
      <c r="I53" s="119" t="s">
        <v>628</v>
      </c>
      <c r="J53" s="119" t="s">
        <v>630</v>
      </c>
      <c r="K53" s="121">
        <v>3676635194</v>
      </c>
      <c r="L53" s="122" t="s">
        <v>2683</v>
      </c>
      <c r="M53" s="177">
        <v>1</v>
      </c>
      <c r="N53" s="122" t="s">
        <v>1151</v>
      </c>
      <c r="O53" s="122" t="s">
        <v>2684</v>
      </c>
      <c r="P53" s="81"/>
    </row>
    <row r="54" spans="1:16" s="7" customFormat="1" ht="24.75" customHeight="1" outlineLevel="1" x14ac:dyDescent="0.25">
      <c r="A54" s="140">
        <v>7</v>
      </c>
      <c r="B54" s="120" t="s">
        <v>2754</v>
      </c>
      <c r="C54" s="122" t="s">
        <v>31</v>
      </c>
      <c r="D54" s="119" t="s">
        <v>2736</v>
      </c>
      <c r="E54" s="196">
        <v>43887</v>
      </c>
      <c r="F54" s="196">
        <v>44196</v>
      </c>
      <c r="G54" s="168">
        <f t="shared" si="1"/>
        <v>10.3</v>
      </c>
      <c r="H54" s="120" t="s">
        <v>2734</v>
      </c>
      <c r="I54" s="119" t="s">
        <v>628</v>
      </c>
      <c r="J54" s="119" t="s">
        <v>630</v>
      </c>
      <c r="K54" s="117">
        <v>3286722344</v>
      </c>
      <c r="L54" s="122" t="s">
        <v>2683</v>
      </c>
      <c r="M54" s="177">
        <v>1</v>
      </c>
      <c r="N54" s="122" t="s">
        <v>1151</v>
      </c>
      <c r="O54" s="122" t="s">
        <v>2684</v>
      </c>
      <c r="P54" s="81"/>
    </row>
    <row r="55" spans="1:16" s="7" customFormat="1" ht="24.75" customHeight="1" outlineLevel="1" x14ac:dyDescent="0.25">
      <c r="A55" s="140">
        <v>8</v>
      </c>
      <c r="B55" s="120" t="s">
        <v>2754</v>
      </c>
      <c r="C55" s="122" t="s">
        <v>31</v>
      </c>
      <c r="D55" s="119" t="s">
        <v>2737</v>
      </c>
      <c r="E55" s="196">
        <v>43887</v>
      </c>
      <c r="F55" s="196">
        <v>44196</v>
      </c>
      <c r="G55" s="168">
        <f t="shared" si="1"/>
        <v>10.3</v>
      </c>
      <c r="H55" s="120" t="s">
        <v>2734</v>
      </c>
      <c r="I55" s="119" t="s">
        <v>628</v>
      </c>
      <c r="J55" s="119" t="s">
        <v>630</v>
      </c>
      <c r="K55" s="117">
        <v>3784594980</v>
      </c>
      <c r="L55" s="122" t="s">
        <v>2683</v>
      </c>
      <c r="M55" s="177" t="s">
        <v>2738</v>
      </c>
      <c r="N55" s="122" t="s">
        <v>1151</v>
      </c>
      <c r="O55" s="122" t="s">
        <v>2684</v>
      </c>
      <c r="P55" s="81"/>
    </row>
    <row r="56" spans="1:16" s="7" customFormat="1" ht="24.75" customHeight="1" outlineLevel="1" x14ac:dyDescent="0.25">
      <c r="A56" s="140">
        <v>9</v>
      </c>
      <c r="B56" s="120" t="s">
        <v>2754</v>
      </c>
      <c r="C56" s="122" t="s">
        <v>31</v>
      </c>
      <c r="D56" s="119" t="s">
        <v>2739</v>
      </c>
      <c r="E56" s="196">
        <v>43887</v>
      </c>
      <c r="F56" s="196">
        <v>44196</v>
      </c>
      <c r="G56" s="168">
        <f t="shared" si="1"/>
        <v>10.3</v>
      </c>
      <c r="H56" s="120" t="s">
        <v>2740</v>
      </c>
      <c r="I56" s="119" t="s">
        <v>628</v>
      </c>
      <c r="J56" s="119" t="s">
        <v>630</v>
      </c>
      <c r="K56" s="117">
        <v>3784594980</v>
      </c>
      <c r="L56" s="122" t="s">
        <v>2683</v>
      </c>
      <c r="M56" s="177">
        <v>1</v>
      </c>
      <c r="N56" s="122" t="s">
        <v>1151</v>
      </c>
      <c r="O56" s="122" t="s">
        <v>2684</v>
      </c>
      <c r="P56" s="81"/>
    </row>
    <row r="57" spans="1:16" s="7" customFormat="1" ht="24.75" customHeight="1" outlineLevel="1" x14ac:dyDescent="0.25">
      <c r="A57" s="140">
        <v>10</v>
      </c>
      <c r="B57" s="120" t="s">
        <v>2754</v>
      </c>
      <c r="C57" s="122" t="s">
        <v>31</v>
      </c>
      <c r="D57" s="119" t="s">
        <v>2741</v>
      </c>
      <c r="E57" s="196">
        <v>43877</v>
      </c>
      <c r="F57" s="196">
        <v>44196</v>
      </c>
      <c r="G57" s="168">
        <f t="shared" si="1"/>
        <v>10.633333333333333</v>
      </c>
      <c r="H57" s="120" t="s">
        <v>2742</v>
      </c>
      <c r="I57" s="119" t="s">
        <v>36</v>
      </c>
      <c r="J57" s="119" t="s">
        <v>143</v>
      </c>
      <c r="K57" s="121">
        <v>3132345902</v>
      </c>
      <c r="L57" s="122" t="s">
        <v>2683</v>
      </c>
      <c r="M57" s="177">
        <v>1</v>
      </c>
      <c r="N57" s="122" t="s">
        <v>1151</v>
      </c>
      <c r="O57" s="122" t="s">
        <v>2684</v>
      </c>
      <c r="P57" s="81"/>
    </row>
    <row r="58" spans="1:16" s="7" customFormat="1" ht="24.75" customHeight="1" outlineLevel="1" x14ac:dyDescent="0.25">
      <c r="A58" s="140">
        <v>11</v>
      </c>
      <c r="B58" s="120" t="s">
        <v>2754</v>
      </c>
      <c r="C58" s="122" t="s">
        <v>31</v>
      </c>
      <c r="D58" s="119" t="s">
        <v>2743</v>
      </c>
      <c r="E58" s="141">
        <v>43891</v>
      </c>
      <c r="F58" s="141">
        <v>44165</v>
      </c>
      <c r="G58" s="168">
        <f t="shared" si="1"/>
        <v>9.1333333333333329</v>
      </c>
      <c r="H58" s="120" t="s">
        <v>2744</v>
      </c>
      <c r="I58" s="119" t="s">
        <v>36</v>
      </c>
      <c r="J58" s="119" t="s">
        <v>150</v>
      </c>
      <c r="K58" s="121">
        <v>4920384868</v>
      </c>
      <c r="L58" s="122" t="s">
        <v>2683</v>
      </c>
      <c r="M58" s="177">
        <v>1</v>
      </c>
      <c r="N58" s="122" t="s">
        <v>2639</v>
      </c>
      <c r="O58" s="122" t="s">
        <v>2684</v>
      </c>
      <c r="P58" s="81"/>
    </row>
    <row r="59" spans="1:16" s="7" customFormat="1" ht="24.75" customHeight="1" outlineLevel="1" x14ac:dyDescent="0.25">
      <c r="A59" s="140">
        <v>12</v>
      </c>
      <c r="B59" s="120" t="s">
        <v>2754</v>
      </c>
      <c r="C59" s="122" t="s">
        <v>31</v>
      </c>
      <c r="D59" s="119" t="s">
        <v>2750</v>
      </c>
      <c r="E59" s="141">
        <v>43890</v>
      </c>
      <c r="F59" s="141">
        <v>44165</v>
      </c>
      <c r="G59" s="168">
        <f t="shared" si="1"/>
        <v>9.1666666666666661</v>
      </c>
      <c r="H59" s="120" t="s">
        <v>2751</v>
      </c>
      <c r="I59" s="119" t="s">
        <v>36</v>
      </c>
      <c r="J59" s="119" t="s">
        <v>50</v>
      </c>
      <c r="K59" s="121">
        <v>4113148385</v>
      </c>
      <c r="L59" s="122" t="s">
        <v>2683</v>
      </c>
      <c r="M59" s="177">
        <v>1</v>
      </c>
      <c r="N59" s="122" t="s">
        <v>2639</v>
      </c>
      <c r="O59" s="122" t="s">
        <v>2684</v>
      </c>
      <c r="P59" s="81"/>
    </row>
    <row r="60" spans="1:16" s="7" customFormat="1" ht="24.75" customHeight="1" outlineLevel="1" x14ac:dyDescent="0.25">
      <c r="A60" s="140">
        <v>13</v>
      </c>
      <c r="B60" s="120" t="s">
        <v>2754</v>
      </c>
      <c r="C60" s="122" t="s">
        <v>31</v>
      </c>
      <c r="D60" s="119" t="s">
        <v>2752</v>
      </c>
      <c r="E60" s="141">
        <v>43877</v>
      </c>
      <c r="F60" s="141">
        <v>44196</v>
      </c>
      <c r="G60" s="168">
        <f t="shared" si="1"/>
        <v>10.633333333333333</v>
      </c>
      <c r="H60" s="120" t="s">
        <v>2753</v>
      </c>
      <c r="I60" s="119" t="s">
        <v>36</v>
      </c>
      <c r="J60" s="119" t="s">
        <v>106</v>
      </c>
      <c r="K60" s="121">
        <v>3438952252</v>
      </c>
      <c r="L60" s="122" t="s">
        <v>2683</v>
      </c>
      <c r="M60" s="177">
        <v>1</v>
      </c>
      <c r="N60" s="122" t="s">
        <v>1151</v>
      </c>
      <c r="O60" s="122" t="s">
        <v>2684</v>
      </c>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2"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6"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2735</v>
      </c>
      <c r="E114" s="196">
        <v>43887</v>
      </c>
      <c r="F114" s="196">
        <v>44196</v>
      </c>
      <c r="G114" s="168">
        <f>IF(AND(E114&lt;&gt;"",F114&lt;&gt;""),((F114-E114)/30),"")</f>
        <v>10.3</v>
      </c>
      <c r="H114" s="118" t="s">
        <v>2734</v>
      </c>
      <c r="I114" s="119" t="s">
        <v>628</v>
      </c>
      <c r="J114" s="119" t="s">
        <v>630</v>
      </c>
      <c r="K114" s="121">
        <v>3676635194</v>
      </c>
      <c r="L114" s="102">
        <f>+IF(AND(K114&gt;0,O114="Ejecución"),(K114/877802)*Tabla283[[#This Row],[% participación]],IF(AND(K114&gt;0,O114&lt;&gt;"Ejecución"),"-",""))</f>
        <v>4188.4561598173623</v>
      </c>
      <c r="M114" s="122" t="s">
        <v>2683</v>
      </c>
      <c r="N114" s="177">
        <f>+IF(M116="No",1,IF(M116="Si","Ingrese %",""))</f>
        <v>1</v>
      </c>
      <c r="O114" s="173" t="s">
        <v>1150</v>
      </c>
      <c r="P114" s="80"/>
    </row>
    <row r="115" spans="1:16" s="6" customFormat="1" ht="24.75" customHeight="1" x14ac:dyDescent="0.25">
      <c r="A115" s="139">
        <v>2</v>
      </c>
      <c r="B115" s="171" t="s">
        <v>2672</v>
      </c>
      <c r="C115" s="172" t="s">
        <v>31</v>
      </c>
      <c r="D115" s="119" t="s">
        <v>2736</v>
      </c>
      <c r="E115" s="196">
        <v>43887</v>
      </c>
      <c r="F115" s="196">
        <v>44196</v>
      </c>
      <c r="G115" s="168">
        <f t="shared" ref="G115:G160" si="3">IF(AND(E115&lt;&gt;"",F115&lt;&gt;""),((F115-E115)/30),"")</f>
        <v>10.3</v>
      </c>
      <c r="H115" s="120" t="s">
        <v>2734</v>
      </c>
      <c r="I115" s="119" t="s">
        <v>628</v>
      </c>
      <c r="J115" s="119" t="s">
        <v>630</v>
      </c>
      <c r="K115" s="117">
        <v>3286722344</v>
      </c>
      <c r="L115" s="102">
        <f>+IF(AND(K115&gt;0,O115="Ejecución"),(K115/877802)*Tabla283[[#This Row],[% participación]],IF(AND(K115&gt;0,O115&lt;&gt;"Ejecución"),"-",""))</f>
        <v>3744.2639046163031</v>
      </c>
      <c r="M115" s="122" t="s">
        <v>2683</v>
      </c>
      <c r="N115" s="177">
        <f>+IF(M116="No",1,IF(M116="Si","Ingrese %",""))</f>
        <v>1</v>
      </c>
      <c r="O115" s="173" t="s">
        <v>1150</v>
      </c>
      <c r="P115" s="80"/>
    </row>
    <row r="116" spans="1:16" s="6" customFormat="1" ht="24.75" customHeight="1" x14ac:dyDescent="0.25">
      <c r="A116" s="139">
        <v>3</v>
      </c>
      <c r="B116" s="171" t="s">
        <v>2672</v>
      </c>
      <c r="C116" s="172" t="s">
        <v>31</v>
      </c>
      <c r="D116" s="119" t="s">
        <v>2737</v>
      </c>
      <c r="E116" s="196">
        <v>43887</v>
      </c>
      <c r="F116" s="196">
        <v>44196</v>
      </c>
      <c r="G116" s="168">
        <f t="shared" si="3"/>
        <v>10.3</v>
      </c>
      <c r="H116" s="120" t="s">
        <v>2734</v>
      </c>
      <c r="I116" s="119" t="s">
        <v>628</v>
      </c>
      <c r="J116" s="119" t="s">
        <v>630</v>
      </c>
      <c r="K116" s="117">
        <v>3784594980</v>
      </c>
      <c r="L116" s="102">
        <f>+IF(AND(K116&gt;0,O116="Ejecución"),(K116/877802)*Tabla283[[#This Row],[% participación]],IF(AND(K116&gt;0,O116&lt;&gt;"Ejecución"),"-",""))</f>
        <v>4311.4449272159327</v>
      </c>
      <c r="M116" s="122" t="s">
        <v>2683</v>
      </c>
      <c r="N116" s="177">
        <f t="shared" ref="N116:N160" si="4">+IF(M116="No",1,IF(M116="Si","Ingrese %",""))</f>
        <v>1</v>
      </c>
      <c r="O116" s="173" t="s">
        <v>1150</v>
      </c>
      <c r="P116" s="80"/>
    </row>
    <row r="117" spans="1:16" s="6" customFormat="1" ht="24.75" customHeight="1" outlineLevel="1" x14ac:dyDescent="0.25">
      <c r="A117" s="139">
        <v>4</v>
      </c>
      <c r="B117" s="171" t="s">
        <v>2672</v>
      </c>
      <c r="C117" s="172" t="s">
        <v>31</v>
      </c>
      <c r="D117" s="119" t="s">
        <v>2739</v>
      </c>
      <c r="E117" s="196">
        <v>43887</v>
      </c>
      <c r="F117" s="196">
        <v>44196</v>
      </c>
      <c r="G117" s="168">
        <f t="shared" si="3"/>
        <v>10.3</v>
      </c>
      <c r="H117" s="120" t="s">
        <v>2740</v>
      </c>
      <c r="I117" s="119" t="s">
        <v>628</v>
      </c>
      <c r="J117" s="119" t="s">
        <v>630</v>
      </c>
      <c r="K117" s="117">
        <v>3784594980</v>
      </c>
      <c r="L117" s="102">
        <f>+IF(AND(K117&gt;0,O117="Ejecución"),(K117/877802)*Tabla283[[#This Row],[% participación]],IF(AND(K117&gt;0,O117&lt;&gt;"Ejecución"),"-",""))</f>
        <v>4311.4449272159327</v>
      </c>
      <c r="M117" s="122" t="s">
        <v>2683</v>
      </c>
      <c r="N117" s="177">
        <f t="shared" si="4"/>
        <v>1</v>
      </c>
      <c r="O117" s="173" t="s">
        <v>1150</v>
      </c>
      <c r="P117" s="80"/>
    </row>
    <row r="118" spans="1:16" s="7" customFormat="1" ht="24.75" customHeight="1" outlineLevel="1" x14ac:dyDescent="0.25">
      <c r="A118" s="140">
        <v>5</v>
      </c>
      <c r="B118" s="171" t="s">
        <v>2672</v>
      </c>
      <c r="C118" s="172" t="s">
        <v>31</v>
      </c>
      <c r="D118" s="119" t="s">
        <v>2741</v>
      </c>
      <c r="E118" s="196">
        <v>43877</v>
      </c>
      <c r="F118" s="196">
        <v>44196</v>
      </c>
      <c r="G118" s="168">
        <f t="shared" si="3"/>
        <v>10.633333333333333</v>
      </c>
      <c r="H118" s="120" t="s">
        <v>2742</v>
      </c>
      <c r="I118" s="119" t="s">
        <v>36</v>
      </c>
      <c r="J118" s="119" t="s">
        <v>143</v>
      </c>
      <c r="K118" s="121">
        <v>3132345902</v>
      </c>
      <c r="L118" s="102">
        <f>+IF(AND(K118&gt;0,O118="Ejecución"),(K118/877802)*Tabla283[[#This Row],[% participación]],IF(AND(K118&gt;0,O118&lt;&gt;"Ejecución"),"-",""))</f>
        <v>3568.396861706854</v>
      </c>
      <c r="M118" s="122" t="s">
        <v>2683</v>
      </c>
      <c r="N118" s="177">
        <f t="shared" si="4"/>
        <v>1</v>
      </c>
      <c r="O118" s="173" t="s">
        <v>1150</v>
      </c>
      <c r="P118" s="81"/>
    </row>
    <row r="119" spans="1:16" s="7" customFormat="1" ht="24.75" customHeight="1" outlineLevel="1" x14ac:dyDescent="0.25">
      <c r="A119" s="140">
        <v>6</v>
      </c>
      <c r="B119" s="171" t="s">
        <v>2672</v>
      </c>
      <c r="C119" s="172" t="s">
        <v>31</v>
      </c>
      <c r="D119" s="119" t="s">
        <v>2743</v>
      </c>
      <c r="E119" s="141">
        <v>43891</v>
      </c>
      <c r="F119" s="141">
        <v>44165</v>
      </c>
      <c r="G119" s="168">
        <f t="shared" si="3"/>
        <v>9.1333333333333329</v>
      </c>
      <c r="H119" s="120" t="s">
        <v>2744</v>
      </c>
      <c r="I119" s="119" t="s">
        <v>36</v>
      </c>
      <c r="J119" s="119" t="s">
        <v>150</v>
      </c>
      <c r="K119" s="121">
        <v>4920384868</v>
      </c>
      <c r="L119" s="102">
        <f>+IF(AND(K119&gt;0,O119="Ejecución"),(K119/877802)*Tabla283[[#This Row],[% participación]],IF(AND(K119&gt;0,O119&lt;&gt;"Ejecución"),"-",""))</f>
        <v>5605.3470691568255</v>
      </c>
      <c r="M119" s="122" t="s">
        <v>2683</v>
      </c>
      <c r="N119" s="177">
        <f t="shared" si="4"/>
        <v>1</v>
      </c>
      <c r="O119" s="173" t="s">
        <v>1150</v>
      </c>
      <c r="P119" s="81"/>
    </row>
    <row r="120" spans="1:16" s="7" customFormat="1" ht="24.75" customHeight="1" outlineLevel="1" x14ac:dyDescent="0.25">
      <c r="A120" s="140">
        <v>7</v>
      </c>
      <c r="B120" s="171" t="s">
        <v>2672</v>
      </c>
      <c r="C120" s="172" t="s">
        <v>31</v>
      </c>
      <c r="D120" s="119" t="s">
        <v>2750</v>
      </c>
      <c r="E120" s="141">
        <v>43890</v>
      </c>
      <c r="F120" s="141">
        <v>44165</v>
      </c>
      <c r="G120" s="168">
        <f t="shared" si="3"/>
        <v>9.1666666666666661</v>
      </c>
      <c r="H120" s="120" t="s">
        <v>2751</v>
      </c>
      <c r="I120" s="119" t="s">
        <v>36</v>
      </c>
      <c r="J120" s="119" t="s">
        <v>50</v>
      </c>
      <c r="K120" s="121">
        <v>4113148385</v>
      </c>
      <c r="L120" s="102">
        <f>+IF(AND(K120&gt;0,O120="Ejecución"),(K120/877802)*Tabla283[[#This Row],[% participación]],IF(AND(K120&gt;0,O120&lt;&gt;"Ejecución"),"-",""))</f>
        <v>4685.7359461473088</v>
      </c>
      <c r="M120" s="122" t="s">
        <v>2683</v>
      </c>
      <c r="N120" s="177">
        <f t="shared" si="4"/>
        <v>1</v>
      </c>
      <c r="O120" s="173" t="s">
        <v>1150</v>
      </c>
      <c r="P120" s="81"/>
    </row>
    <row r="121" spans="1:16" s="7" customFormat="1" ht="24.75" customHeight="1" outlineLevel="1" x14ac:dyDescent="0.25">
      <c r="A121" s="140">
        <v>8</v>
      </c>
      <c r="B121" s="171" t="s">
        <v>2672</v>
      </c>
      <c r="C121" s="172" t="s">
        <v>31</v>
      </c>
      <c r="D121" s="119" t="s">
        <v>2752</v>
      </c>
      <c r="E121" s="141">
        <v>43877</v>
      </c>
      <c r="F121" s="141">
        <v>44196</v>
      </c>
      <c r="G121" s="168">
        <f t="shared" si="3"/>
        <v>10.633333333333333</v>
      </c>
      <c r="H121" s="120" t="s">
        <v>2753</v>
      </c>
      <c r="I121" s="119" t="s">
        <v>36</v>
      </c>
      <c r="J121" s="119" t="s">
        <v>106</v>
      </c>
      <c r="K121" s="121">
        <v>3438952252</v>
      </c>
      <c r="L121" s="102">
        <f>+IF(AND(K121&gt;0,O121="Ejecución"),(K121/877802)*Tabla283[[#This Row],[% participación]],IF(AND(K121&gt;0,O121&lt;&gt;"Ejecución"),"-",""))</f>
        <v>3917.6855965240452</v>
      </c>
      <c r="M121" s="122" t="s">
        <v>2683</v>
      </c>
      <c r="N121" s="177">
        <f t="shared" si="4"/>
        <v>1</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v>1.0999999999999999E-2</v>
      </c>
      <c r="G179" s="175">
        <f>IF(F179&gt;0,SUM(E179+F179),"")</f>
        <v>3.1E-2</v>
      </c>
      <c r="H179" s="5"/>
      <c r="I179" s="223" t="s">
        <v>2675</v>
      </c>
      <c r="J179" s="224"/>
      <c r="K179" s="224"/>
      <c r="L179" s="225"/>
      <c r="M179" s="174">
        <v>0.05</v>
      </c>
      <c r="O179" s="8"/>
      <c r="Q179" s="19"/>
      <c r="R179" s="19"/>
      <c r="S179" s="175">
        <f>IF(M179&gt;0,SUM(L179+M179),"")</f>
        <v>0.05</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3.1E-2</v>
      </c>
      <c r="D185" s="165" t="s">
        <v>2633</v>
      </c>
      <c r="E185" s="96">
        <f>+(C185*SUM(K20:K35))</f>
        <v>32367797.623999998</v>
      </c>
      <c r="F185" s="94"/>
      <c r="G185" s="95"/>
      <c r="H185" s="90"/>
      <c r="I185" s="92" t="s">
        <v>2632</v>
      </c>
      <c r="J185" s="180">
        <f>M179</f>
        <v>0.05</v>
      </c>
      <c r="K185" s="233" t="s">
        <v>2633</v>
      </c>
      <c r="L185" s="233"/>
      <c r="M185" s="96">
        <f>+J185*K20</f>
        <v>52206125.200000003</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42821</v>
      </c>
      <c r="D193" s="5"/>
      <c r="E193" s="193">
        <v>401</v>
      </c>
      <c r="F193" s="5"/>
      <c r="G193" s="5"/>
      <c r="H193" s="193" t="s">
        <v>2745</v>
      </c>
      <c r="J193" s="5"/>
      <c r="K193" s="192">
        <v>43877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2746</v>
      </c>
      <c r="J211" s="27" t="s">
        <v>2627</v>
      </c>
      <c r="K211" s="193" t="s">
        <v>2748</v>
      </c>
      <c r="L211" s="21"/>
      <c r="M211" s="21"/>
      <c r="N211" s="21"/>
      <c r="O211" s="8"/>
    </row>
    <row r="212" spans="1:15" x14ac:dyDescent="0.25">
      <c r="A212" s="9"/>
      <c r="B212" s="27" t="s">
        <v>2624</v>
      </c>
      <c r="C212" s="143" t="s">
        <v>2745</v>
      </c>
      <c r="D212" s="21"/>
      <c r="G212" s="27" t="s">
        <v>2626</v>
      </c>
      <c r="H212" s="194" t="s">
        <v>2747</v>
      </c>
      <c r="J212" s="27" t="s">
        <v>2628</v>
      </c>
      <c r="K212" s="193"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44193.710468518519</v>
      </c>
      <c r="W20" s="107">
        <f ca="1">NOW()</f>
        <v>44193.710468518519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44193.710468518519</v>
      </c>
      <c r="W20" s="107">
        <f ca="1">NOW()</f>
        <v>44193.710468518519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44193.710468518519</v>
      </c>
      <c r="W20" s="107">
        <f ca="1">NOW()</f>
        <v>44193.710468518519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44193.710468518519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44193.710468518519</v>
      </c>
      <c r="W20" s="107">
        <f ca="1">NOW()</f>
        <v>44193.710468518519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2020-12-28T22:03:37Z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