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
    </mc:Choice>
  </mc:AlternateContent>
  <xr:revisionPtr revIDLastSave="0" documentId="13_ncr:1_{63ED0155-3231-4DFC-86B9-59E46B2264D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<sst xmlns="http://schemas.openxmlformats.org/spreadsheetml/2006/main" count="4593" uniqueCount="2736">
  <si>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</si>
  <si>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</si>
  <si>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</si>
  <si>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</si>
  <si>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</si>
  <si>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</si>
  <si>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</si>
  <si>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</si>
  <si>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</si>
  <si>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</si>
  <si>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</si>
  <si>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</si>
  <si>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</si>
  <si>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</si>
  <si>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</si>
  <si>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</si>
  <si>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</si>
  <si>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</si>
  <si>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</si>
  <si>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</si>
  <si>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</si>
  <si>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</si>
  <si>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</si>
  <si>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</si>
  <si>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</si>
  <si>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</si>
  <si>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</si>
  <si>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</si>
  <si>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</si>
  <si>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</si>
  <si>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</si>
  <si>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</si>
  <si>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</si>
  <si>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</si>
  <si>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</si>
  <si>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</si>
  <si>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</si>
  <si>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</si>
  <si>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</si>
  <si>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</si>
  <si>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</si>
  <si>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</si>
  <si>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</si>
  <si>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</si>
  <si>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</si>
  <si>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</si>
  <si>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</si>
  <si>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</si>
  <si>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</si>
  <si>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</si>
  <si>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</si>
  <si>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</si>
  <si>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</si>
  <si>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</si>
  <si>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</si>
  <si>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</si>
  <si>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</si>
  <si>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</si>
  <si>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</si>
  <si>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</si>
  <si>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</si>
  <si>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</si>
  <si>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</si>
  <si>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</si>
  <si>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</si>
  <si>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</si>
  <si>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</si>
  <si>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</si>
  <si>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</si>
  <si>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</si>
  <si>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</si>
  <si>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</si>
  <si>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</si>
  <si>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</si>
  <si>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</si>
  <si>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</si>
  <si>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</si>
  <si>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</si>
  <si>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</si>
  <si>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</si>
  <si>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</si>
  <si>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</si>
  <si>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</si>
  <si>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</si>
  <si>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</si>
  <si>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</si>
  <si>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</si>
  <si>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</si>
  <si>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</si>
  <si>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</si>
  <si>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</si>
  <si>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</si>
  <si>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</si>
  <si>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</si>
  <si>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</si>
  <si>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</si>
  <si>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</si>
  <si>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</si>
  <si>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</si>
  <si>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</si>
  <si>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</si>
  <si>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</si>
  <si>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</si>
  <si>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</si>
  <si>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</si>
  <si>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</si>
  <si>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</si>
  <si>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</si>
  <si>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</si>
  <si>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</si>
  <si>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</si>
  <si>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</si>
  <si>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</si>
  <si>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</si>
  <si>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</si>
  <si>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</si>
  <si>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</si>
  <si>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</si>
  <si>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</si>
  <si>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</si>
  <si>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</si>
  <si>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</si>
  <si>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</si>
  <si>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</si>
  <si>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</si>
  <si>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</si>
  <si>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</si>
  <si>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</si>
  <si>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</si>
  <si>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</si>
  <si>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</si>
  <si>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</si>
  <si>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</si>
  <si>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</si>
  <si>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</si>
  <si>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</si>
  <si>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</si>
  <si>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</si>
  <si>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</si>
  <si>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</si>
  <si>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</si>
  <si>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</si>
  <si>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</si>
  <si>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</si>
  <si>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</si>
  <si>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</si>
  <si>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</si>
  <si>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</si>
  <si>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</si>
  <si>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</si>
  <si>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</si>
  <si>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</si>
  <si>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</si>
  <si>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</si>
  <si>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</si>
  <si>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</si>
  <si>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</si>
  <si>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</si>
  <si>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</si>
  <si>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</si>
  <si>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</si>
  <si>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</si>
  <si>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</si>
  <si>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</si>
  <si>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</si>
  <si>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</si>
  <si>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</si>
  <si>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</si>
  <si>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</si>
  <si>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</si>
  <si>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</si>
  <si>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</si>
  <si>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</si>
  <si>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</si>
  <si>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</si>
  <si>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</si>
  <si>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</si>
  <si>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</si>
  <si>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</si>
  <si>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</si>
  <si>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</si>
  <si>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</si>
  <si>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</si>
  <si>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</si>
  <si>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</si>
  <si>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</si>
  <si>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</si>
  <si>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</si>
  <si>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</si>
  <si>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</si>
  <si>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</si>
  <si>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</si>
  <si>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</si>
  <si>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</si>
  <si>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</si>
  <si>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</si>
  <si>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</si>
  <si>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</si>
  <si>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</si>
  <si>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</si>
  <si>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</si>
  <si>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</si>
  <si>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</si>
  <si>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</si>
  <si>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</si>
  <si>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</si>
  <si>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</si>
  <si>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</si>
  <si>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</si>
  <si>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</si>
  <si>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</si>
  <si>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</si>
  <si>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</si>
  <si>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</si>
  <si>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</si>
  <si>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</si>
  <si>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</si>
  <si>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</si>
  <si>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</si>
  <si>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</si>
  <si>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</si>
  <si>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</si>
  <si>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</si>
  <si>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</si>
  <si>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</si>
  <si>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</si>
  <si>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</si>
  <si>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</si>
  <si>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</si>
  <si>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</si>
  <si>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</si>
  <si>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</si>
  <si>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</si>
  <si>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</si>
  <si>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</si>
  <si>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</si>
  <si>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</si>
  <si>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</si>
  <si>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</si>
  <si>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</si>
  <si>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</si>
  <si>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</si>
  <si>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</si>
  <si>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</si>
  <si>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</si>
  <si>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</si>
  <si>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</si>
  <si>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</si>
  <si>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</si>
  <si>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</si>
  <si>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</si>
  <si>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</si>
  <si>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</si>
  <si>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</si>
  <si>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</si>
  <si>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</si>
  <si>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</si>
  <si>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</si>
  <si>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</si>
  <si>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</si>
  <si>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</si>
  <si>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</si>
  <si>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</si>
  <si>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</si>
  <si>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</si>
  <si>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</si>
  <si>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</si>
  <si>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</si>
  <si>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</si>
  <si>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</si>
  <si>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</si>
  <si>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</si>
  <si>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</si>
  <si>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</si>
  <si>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</si>
  <si>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</si>
  <si>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</si>
  <si>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</si>
  <si>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</si>
  <si>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</si>
  <si>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</si>
  <si>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</si>
  <si>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</si>
  <si>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</si>
  <si>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</si>
  <si>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</si>
  <si>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</si>
  <si>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</si>
  <si>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</si>
  <si>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</si>
  <si>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</si>
  <si>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</si>
  <si>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</si>
  <si>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</si>
  <si>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</si>
  <si>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</si>
  <si>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</si>
  <si>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</si>
  <si>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</si>
  <si>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</si>
  <si>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</si>
  <si>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</si>
  <si>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</si>
  <si>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</si>
  <si>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</si>
  <si>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</si>
  <si>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</si>
  <si>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</si>
  <si>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</si>
  <si>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</si>
  <si>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</si>
  <si>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</si>
  <si>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</si>
  <si>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</si>
  <si>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</si>
  <si>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</si>
  <si>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</si>
  <si>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</si>
  <si>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</si>
  <si>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</si>
  <si>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</si>
  <si>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</si>
  <si>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</si>
  <si>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</si>
  <si>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</si>
  <si>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</si>
  <si>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</si>
  <si>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</si>
  <si>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</si>
  <si>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</si>
  <si>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</si>
  <si>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</si>
  <si>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</si>
  <si>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</si>
  <si>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</si>
  <si>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</si>
  <si>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</si>
  <si>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</si>
  <si>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</si>
  <si>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</si>
  <si>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</si>
  <si>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</si>
  <si>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</si>
  <si>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</si>
  <si>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</si>
  <si>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</si>
  <si>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</si>
  <si>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</si>
  <si>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</si>
  <si>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</si>
  <si>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</si>
  <si>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</si>
  <si>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</si>
  <si>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</si>
  <si>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</si>
  <si>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</si>
  <si>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</si>
  <si>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</si>
  <si>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</si>
  <si>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</si>
  <si>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</si>
  <si>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</si>
  <si>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</si>
  <si>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</si>
  <si>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</si>
  <si>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</si>
  <si>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</si>
  <si>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</si>
  <si>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</si>
  <si>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</si>
  <si>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</si>
  <si>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</si>
  <si>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</si>
  <si>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</si>
  <si>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</si>
  <si>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</si>
  <si>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</si>
  <si>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</si>
  <si>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</si>
  <si>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</si>
  <si>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</si>
  <si>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</si>
  <si>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</si>
  <si>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</si>
  <si>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</si>
  <si>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</si>
  <si>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</si>
  <si>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</si>
  <si>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</si>
  <si>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</si>
  <si>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</si>
  <si>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</si>
  <si>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</si>
  <si>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</si>
  <si>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</si>
  <si>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</si>
  <si>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</si>
  <si>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</si>
  <si>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</si>
  <si>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</si>
  <si>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</si>
  <si>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</si>
  <si>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</si>
  <si>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</si>
  <si>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</si>
  <si>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</si>
  <si>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</si>
  <si>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</si>
  <si>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</si>
  <si>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</si>
  <si>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</si>
  <si>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</si>
  <si>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</si>
  <si>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</si>
  <si>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</si>
  <si>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</si>
  <si>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</si>
  <si>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</si>
  <si>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</si>
  <si>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</si>
  <si>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</si>
  <si>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</si>
  <si>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</si>
  <si>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</si>
  <si>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</si>
  <si>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</si>
  <si>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</si>
  <si>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</si>
  <si>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</si>
  <si>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</si>
  <si>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</si>
  <si>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</si>
  <si>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</si>
  <si>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</si>
  <si>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</si>
  <si>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</si>
  <si>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</si>
  <si>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</si>
  <si>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</si>
  <si>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</si>
  <si>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</si>
  <si>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</si>
  <si>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</si>
  <si>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</si>
  <si>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</si>
  <si>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</si>
  <si>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</si>
  <si>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</si>
  <si>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</si>
  <si>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</si>
  <si>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</si>
  <si>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</si>
  <si>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</si>
  <si>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</si>
  <si>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</si>
  <si>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</si>
  <si>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</si>
  <si>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</si>
  <si>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</si>
  <si>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</si>
  <si>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</si>
  <si>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</si>
  <si>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</si>
  <si>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</si>
  <si>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</si>
  <si>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</si>
  <si>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</si>
  <si>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</si>
  <si>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</si>
  <si>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</si>
  <si>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</si>
  <si>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</si>
  <si>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</si>
  <si>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</si>
  <si>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</si>
  <si>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</si>
  <si>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</si>
  <si>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</si>
  <si>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</si>
  <si>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</si>
  <si>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</si>
  <si>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</si>
  <si>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</si>
  <si>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</si>
  <si>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</si>
  <si>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</si>
  <si>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</si>
  <si>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</si>
  <si>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</si>
  <si>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</si>
  <si>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</si>
  <si>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</si>
  <si>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</si>
  <si>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</si>
  <si>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</si>
  <si>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</si>
  <si>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</si>
  <si>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</si>
  <si>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</si>
  <si>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</si>
  <si>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</si>
  <si>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</si>
  <si>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</si>
  <si>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</si>
  <si>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</si>
  <si>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</si>
  <si>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</si>
  <si>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</si>
  <si>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</si>
  <si>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</si>
  <si>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</si>
  <si>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</si>
  <si>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</si>
  <si>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</si>
  <si>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</si>
  <si>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</si>
  <si>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</si>
  <si>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</si>
  <si>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</si>
  <si>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</si>
  <si>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</si>
  <si>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</si>
  <si>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</si>
  <si>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</si>
  <si>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</si>
  <si>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</si>
  <si>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</si>
  <si>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</si>
  <si>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</si>
  <si>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</si>
  <si>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</si>
  <si>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</si>
  <si>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</si>
  <si>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</si>
  <si>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</si>
  <si>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</si>
  <si>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</si>
  <si>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</si>
  <si>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</si>
  <si>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</si>
  <si>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</si>
  <si>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</si>
  <si>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</si>
  <si>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</si>
  <si>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</si>
  <si>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</si>
  <si>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</si>
  <si>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</si>
  <si>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</si>
  <si>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</si>
  <si>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</si>
  <si>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</si>
  <si>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</si>
  <si>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</si>
  <si>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</si>
  <si>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</si>
  <si>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</si>
  <si>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</si>
  <si>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</si>
  <si>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</si>
  <si>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</si>
  <si>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</si>
  <si>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</si>
  <si>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</si>
  <si>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</si>
  <si>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</si>
  <si>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</si>
  <si>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</si>
  <si>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</si>
  <si>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</si>
  <si>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</si>
  <si>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</si>
  <si>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</si>
  <si>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</si>
  <si>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</si>
  <si>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</si>
  <si>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</si>
  <si>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</si>
  <si>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</si>
  <si>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</si>
  <si>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</si>
  <si>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</si>
  <si>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</si>
  <si>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</si>
  <si>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</si>
  <si>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</si>
  <si>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</si>
  <si>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</si>
  <si>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</si>
  <si>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</si>
  <si>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</si>
  <si>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</si>
  <si>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</si>
  <si>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</si>
  <si>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</si>
  <si>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</si>
  <si>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</si>
  <si>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</si>
  <si>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</si>
  <si>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</si>
  <si>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</si>
  <si>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</si>
  <si>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</si>
  <si>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</si>
  <si>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</si>
  <si>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</si>
  <si>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</si>
  <si>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</si>
  <si>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</si>
  <si>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</si>
  <si>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</si>
  <si>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</si>
  <si>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</si>
  <si>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</si>
  <si>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</si>
  <si>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</si>
  <si>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</si>
  <si>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</si>
  <si>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</si>
  <si>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</si>
  <si>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</si>
  <si>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</si>
  <si>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</si>
  <si>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</si>
  <si>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</si>
  <si>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</si>
  <si>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</si>
  <si>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</si>
  <si>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</si>
  <si>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</si>
  <si>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</si>
  <si>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</si>
  <si>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</si>
  <si>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</si>
  <si>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</si>
  <si>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</si>
  <si>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</si>
  <si>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</si>
  <si>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</si>
  <si>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</si>
  <si>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</si>
  <si>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</si>
  <si>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</si>
  <si>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</si>
  <si>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</si>
  <si>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</si>
  <si>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</si>
  <si>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</si>
  <si>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</si>
  <si>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</si>
  <si>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</si>
  <si>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</si>
  <si>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</si>
  <si>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</si>
  <si>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</si>
  <si>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</si>
  <si>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</si>
  <si>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</si>
  <si>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</si>
  <si>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</si>
  <si>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</si>
  <si>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</si>
  <si>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</si>
  <si>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</si>
  <si>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</si>
  <si>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</si>
  <si>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</si>
  <si>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</si>
  <si>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</si>
  <si>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</si>
  <si>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</si>
  <si>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</si>
  <si>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</si>
  <si>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</si>
  <si>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</si>
  <si>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</si>
  <si>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</si>
  <si>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</si>
  <si>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</si>
  <si>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</si>
  <si>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</si>
  <si>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</si>
  <si>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</si>
  <si>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</si>
  <si>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</si>
  <si>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</si>
  <si>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</si>
  <si>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</si>
  <si>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</si>
  <si>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</si>
  <si>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</si>
  <si>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</si>
  <si>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</si>
  <si>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</si>
  <si>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</si>
  <si>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</si>
  <si>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</si>
  <si>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</si>
  <si>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</si>
  <si>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</si>
  <si>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</si>
  <si>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</si>
  <si>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</si>
  <si>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</si>
  <si>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</si>
  <si>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</si>
  <si>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</si>
  <si>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</si>
  <si>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</si>
  <si>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</si>
  <si>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</si>
  <si>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</si>
  <si>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</si>
  <si>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</si>
  <si>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</si>
  <si>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</si>
  <si>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</si>
  <si>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</si>
  <si>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</si>
  <si>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</si>
  <si>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</si>
  <si>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</si>
  <si>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</si>
  <si>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</si>
  <si>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</si>
  <si>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</si>
  <si>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</si>
  <si>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</si>
  <si>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</si>
  <si>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</si>
  <si>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</si>
  <si>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</si>
  <si>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</si>
  <si>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</si>
  <si>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</si>
  <si>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</si>
  <si>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</si>
  <si>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</si>
  <si>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</si>
  <si>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</si>
  <si>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</si>
  <si>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</si>
  <si>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</si>
  <si>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</si>
  <si>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</si>
  <si>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</si>
  <si>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</si>
  <si>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</si>
  <si>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</si>
  <si>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</si>
  <si>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</si>
  <si>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</si>
  <si>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</si>
  <si>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</si>
  <si>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</si>
  <si>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</si>
  <si>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</si>
  <si>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</si>
  <si>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</si>
  <si>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</si>
  <si>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</si>
  <si>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</si>
  <si>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</si>
  <si>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</si>
  <si>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</si>
  <si>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</si>
  <si>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</si>
  <si>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</si>
  <si>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</si>
  <si>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</si>
  <si>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</si>
  <si>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</si>
  <si>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</si>
  <si>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</si>
  <si>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</si>
  <si>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</si>
  <si>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</si>
  <si>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</si>
  <si>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</si>
  <si>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</si>
  <si>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</si>
  <si>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</si>
  <si>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</si>
  <si>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</si>
  <si>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</si>
  <si>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</si>
  <si>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</si>
  <si>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</si>
  <si>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</si>
  <si>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</si>
  <si>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</si>
  <si>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</si>
  <si>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</si>
  <si>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</si>
  <si>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</si>
  <si>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</si>
  <si>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</si>
  <si>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</si>
  <si>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</si>
  <si>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</si>
  <si>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</si>
  <si>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</si>
  <si>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</si>
  <si>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</si>
  <si>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</si>
  <si>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</si>
  <si>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</si>
  <si>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</si>
  <si>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</si>
  <si>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</si>
  <si>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</si>
  <si>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</si>
  <si>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</si>
  <si>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</si>
  <si>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</si>
  <si>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</si>
  <si>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</si>
  <si>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</si>
  <si>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</si>
  <si>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</si>
  <si>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</si>
  <si>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</si>
  <si>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</si>
  <si>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</si>
  <si>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</si>
  <si>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</si>
  <si>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</si>
  <si>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</si>
  <si>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</si>
  <si>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</si>
  <si>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</si>
  <si>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</si>
  <si>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</si>
  <si>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</si>
  <si>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</si>
  <si>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</si>
  <si>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</si>
  <si>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</si>
  <si>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</si>
  <si>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</si>
  <si>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</si>
  <si>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</si>
  <si>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</si>
  <si>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</si>
  <si>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</si>
  <si>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</si>
  <si>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</si>
  <si>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</si>
  <si>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</si>
  <si>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</si>
  <si>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</si>
  <si>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</si>
  <si>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</si>
  <si>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</si>
  <si>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</si>
  <si>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</si>
  <si>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</si>
  <si>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</si>
  <si>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</si>
  <si>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</si>
  <si>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</si>
  <si>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</si>
  <si>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</si>
  <si>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</si>
  <si>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</si>
  <si>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</si>
  <si>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</si>
  <si>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</si>
  <si>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</si>
  <si>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</si>
  <si>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</si>
  <si>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</si>
  <si>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</si>
  <si>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</si>
  <si>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</si>
  <si>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</si>
  <si>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</si>
  <si>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</si>
  <si>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</si>
  <si>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</si>
  <si>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</si>
  <si>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</si>
  <si>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</si>
  <si>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</si>
  <si>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</si>
  <si>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</si>
  <si>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</si>
  <si>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</si>
  <si>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</si>
  <si>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</si>
  <si>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</si>
  <si>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</si>
  <si>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</si>
  <si>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</si>
  <si>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</si>
  <si>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</si>
  <si>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</si>
  <si>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</si>
  <si>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</si>
  <si>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</si>
  <si>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</si>
  <si>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</si>
  <si>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</si>
  <si>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</si>
  <si>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</si>
  <si>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</si>
  <si>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</si>
  <si>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</si>
  <si>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</si>
  <si>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</si>
  <si>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</si>
  <si>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</si>
  <si>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</si>
  <si>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</si>
  <si>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</si>
  <si>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</si>
  <si>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</si>
  <si>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</si>
  <si>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</si>
  <si>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</si>
  <si>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</si>
  <si>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</si>
  <si>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</si>
  <si>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</si>
  <si>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</si>
  <si>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</si>
  <si>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</si>
  <si>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</si>
  <si>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</si>
  <si>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</si>
  <si>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</si>
  <si>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</si>
  <si>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</si>
  <si>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</si>
  <si>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</si>
  <si>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</si>
  <si>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</si>
  <si>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</si>
  <si>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</si>
  <si>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</si>
  <si>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</si>
  <si>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</si>
  <si>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</si>
  <si>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</si>
  <si>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</si>
  <si>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</si>
  <si>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</si>
  <si>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</si>
  <si>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</si>
  <si>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</si>
  <si>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</si>
  <si>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</si>
  <si>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</si>
  <si>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</si>
  <si>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</si>
  <si>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</si>
  <si>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</si>
  <si>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</si>
  <si>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</si>
  <si>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</si>
  <si>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</si>
  <si>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</si>
  <si>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</si>
  <si>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</si>
  <si>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</si>
  <si>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</si>
  <si>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</si>
  <si>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</si>
  <si>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</si>
  <si>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</si>
  <si>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</si>
  <si>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</si>
  <si>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</si>
  <si>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</si>
  <si>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</si>
  <si>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</si>
  <si>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</si>
  <si>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</si>
  <si>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</si>
  <si>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</si>
  <si>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</si>
  <si>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</si>
  <si>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</si>
  <si>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</si>
  <si>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</si>
  <si>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</si>
  <si>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</si>
  <si>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</si>
  <si>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</si>
  <si>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</si>
  <si>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</si>
  <si>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</si>
  <si>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</si>
  <si>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</si>
  <si>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</si>
  <si>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</si>
  <si>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</si>
  <si>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</si>
  <si>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</si>
  <si>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</si>
  <si>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</si>
  <si>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</si>
  <si>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</si>
  <si>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</si>
  <si>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</si>
  <si>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</si>
  <si>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</si>
  <si>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</si>
  <si>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</si>
  <si>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</si>
  <si>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</si>
  <si>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</si>
  <si>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</si>
  <si>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</si>
  <si>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</si>
  <si>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</si>
  <si>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</si>
  <si>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</si>
  <si>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</si>
  <si>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</si>
  <si>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</si>
  <si>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</si>
  <si>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</si>
  <si>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</si>
  <si>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</si>
  <si>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</si>
  <si>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</si>
  <si>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</si>
  <si>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</si>
  <si>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</si>
  <si>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</si>
  <si>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</si>
  <si>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</si>
  <si>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</si>
  <si>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</si>
  <si>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</si>
  <si>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</si>
  <si>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</si>
  <si>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</si>
  <si>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</si>
  <si>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</si>
  <si>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</si>
  <si>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</si>
  <si>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</si>
  <si>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</si>
  <si>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</si>
  <si>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</si>
  <si>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</si>
  <si>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</si>
  <si>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</si>
  <si>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</si>
  <si>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</si>
  <si>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</si>
  <si>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</si>
  <si>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</si>
  <si>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</si>
  <si>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</si>
  <si>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</si>
  <si>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</si>
  <si>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</si>
  <si>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</si>
  <si>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</si>
  <si>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</si>
  <si>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</si>
  <si>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</si>
  <si>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</si>
  <si>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</si>
  <si>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</si>
  <si>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</si>
  <si>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</si>
  <si>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</si>
  <si>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</si>
  <si>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</si>
  <si>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</si>
  <si>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</si>
  <si>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</si>
  <si>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</si>
  <si>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</si>
  <si>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</si>
  <si>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</si>
  <si>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</si>
  <si>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</si>
  <si>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</si>
  <si>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</si>
  <si>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</si>
  <si>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</si>
  <si>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</si>
  <si>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</si>
  <si>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</si>
  <si>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</si>
  <si>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</si>
  <si>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</si>
  <si>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</si>
  <si>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</si>
  <si>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</si>
  <si>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</si>
  <si>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</si>
  <si>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</si>
  <si>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</si>
  <si>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</si>
  <si>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</si>
  <si>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</si>
  <si>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</si>
  <si>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</si>
  <si>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</si>
  <si>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</si>
  <si>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</si>
  <si>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</si>
  <si>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</si>
  <si>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</si>
  <si>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</si>
  <si>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</si>
  <si>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</si>
  <si>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</si>
  <si>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</si>
  <si>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</si>
  <si>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</si>
  <si>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</si>
  <si>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</si>
  <si>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</si>
  <si>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</si>
  <si>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</si>
  <si>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</si>
  <si>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</si>
  <si>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</si>
  <si>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</si>
  <si>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</si>
  <si>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</si>
  <si>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</si>
  <si>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</si>
  <si>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</si>
  <si>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</si>
  <si>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</si>
  <si>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</si>
  <si>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</si>
  <si>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</si>
  <si>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</si>
  <si>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</si>
  <si>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</si>
  <si>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</si>
  <si>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</si>
  <si>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</si>
  <si>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</si>
  <si>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</si>
  <si>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</si>
  <si>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</si>
  <si>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</si>
  <si>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</si>
  <si>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</si>
  <si>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</si>
  <si>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</si>
  <si>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</si>
  <si>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</si>
  <si>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</si>
  <si>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</si>
  <si>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</si>
  <si>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</si>
  <si>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</si>
  <si>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</si>
  <si>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</si>
  <si>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</si>
  <si>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</si>
  <si>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</si>
  <si>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</si>
  <si>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</si>
  <si>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</si>
  <si>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</si>
  <si>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</si>
  <si>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</si>
  <si>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</si>
  <si>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</si>
  <si>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</si>
  <si>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</si>
  <si>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</si>
  <si>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</si>
  <si>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</si>
  <si>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</si>
  <si>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</si>
  <si>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</si>
  <si>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</si>
  <si>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</si>
  <si>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</si>
  <si>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</si>
  <si>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</si>
  <si>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</si>
  <si>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</si>
  <si>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</si>
  <si>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</si>
  <si>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</si>
  <si>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</si>
  <si>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</si>
  <si>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</si>
  <si>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</si>
  <si>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</si>
  <si>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</si>
  <si>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</si>
  <si>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</si>
  <si>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</si>
  <si>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</si>
  <si>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</si>
  <si>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</si>
  <si>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</si>
  <si>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</si>
  <si>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</si>
  <si>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</si>
  <si>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</si>
  <si>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</si>
  <si>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</si>
  <si>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</si>
  <si>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</si>
  <si>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</si>
  <si>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</si>
  <si>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</si>
  <si>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</si>
  <si>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</si>
  <si>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</si>
  <si>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</si>
  <si>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</si>
  <si>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</si>
  <si>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</si>
  <si>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</si>
  <si>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</si>
  <si>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</si>
  <si>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</si>
  <si>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</si>
  <si>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</si>
  <si>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</si>
  <si>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</si>
  <si>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</si>
  <si>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</si>
  <si>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</si>
  <si>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</si>
  <si>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</si>
  <si>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</si>
  <si>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</si>
  <si>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</si>
  <si>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</si>
  <si>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</si>
  <si>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</si>
  <si>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</si>
  <si>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</si>
  <si>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</si>
  <si>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</si>
  <si>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</si>
  <si>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</si>
  <si>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</si>
  <si>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</si>
  <si>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</si>
  <si>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</si>
  <si>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</si>
  <si>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</si>
  <si>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</si>
  <si>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</si>
  <si>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</si>
  <si>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</si>
  <si>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</si>
  <si>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</si>
  <si>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</si>
  <si>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</si>
  <si>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</si>
  <si>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</si>
  <si>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</si>
  <si>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</si>
  <si>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</si>
  <si>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</si>
  <si>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</si>
  <si>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</si>
  <si>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</si>
  <si>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</si>
  <si>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</si>
  <si>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</si>
  <si>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</si>
  <si>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</si>
  <si>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</si>
  <si>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</si>
  <si>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</si>
  <si>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</si>
  <si>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</si>
  <si>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</si>
  <si>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</si>
  <si>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</si>
  <si>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</si>
  <si>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</si>
  <si>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</si>
  <si>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</si>
  <si>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</si>
  <si>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</si>
  <si>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</si>
  <si>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</si>
  <si>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</si>
  <si>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</si>
  <si>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</si>
  <si>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</si>
  <si>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</si>
  <si>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</si>
  <si>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</si>
  <si>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</si>
  <si>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</si>
  <si>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</si>
  <si>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</si>
  <si>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</si>
  <si>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</si>
  <si>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</si>
  <si>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</si>
  <si>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</si>
  <si>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</si>
  <si>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</si>
  <si>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</si>
  <si>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</si>
  <si>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</si>
  <si>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</si>
  <si>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</si>
  <si>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</si>
  <si>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</si>
  <si>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</si>
  <si>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</si>
  <si>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</si>
  <si>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</si>
  <si>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</si>
  <si>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</si>
  <si>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</si>
  <si>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</si>
  <si>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</si>
  <si>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</si>
  <si>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</si>
  <si>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</si>
  <si>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</si>
  <si>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</si>
  <si>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</si>
  <si>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</si>
  <si>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</si>
  <si>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</si>
  <si>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</si>
  <si>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</si>
  <si>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</si>
  <si>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</si>
  <si>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</si>
  <si>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</si>
  <si>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</si>
  <si>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</si>
  <si>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</si>
  <si>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</si>
  <si>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</si>
  <si>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</si>
  <si>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</si>
  <si>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</si>
  <si>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</si>
  <si>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</si>
  <si>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</si>
  <si>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</si>
  <si>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</si>
  <si>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</si>
  <si>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</si>
  <si>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</si>
  <si>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</si>
  <si>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</si>
  <si>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</si>
  <si>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</si>
  <si>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</si>
  <si>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</si>
  <si>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</si>
  <si>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</si>
  <si>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</si>
  <si>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</si>
  <si>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</si>
  <si>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</si>
  <si>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</si>
  <si>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</si>
  <si>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</si>
  <si>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</si>
  <si>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</si>
  <si>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</si>
  <si>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</si>
  <si>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</si>
  <si>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</si>
  <si>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</si>
  <si>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</si>
  <si>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</si>
  <si>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</si>
  <si>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</si>
  <si>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</si>
  <si>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</si>
  <si>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</si>
  <si>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</si>
  <si>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</si>
  <si>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</si>
  <si>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</si>
  <si>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</si>
  <si>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</si>
  <si>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</si>
  <si>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</si>
  <si>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</si>
  <si>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</si>
  <si>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</si>
  <si>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</si>
  <si>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</si>
  <si>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</si>
  <si>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</si>
  <si>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</si>
  <si>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</si>
  <si>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</si>
  <si>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</si>
  <si>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</si>
  <si>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</si>
  <si>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</si>
  <si>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</si>
  <si>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</si>
  <si>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</si>
  <si>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</si>
  <si>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</si>
  <si>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</si>
  <si>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</si>
  <si>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</si>
  <si>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</si>
  <si>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</si>
  <si>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</si>
  <si>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</si>
  <si>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</si>
  <si>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</si>
  <si>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</si>
  <si>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</si>
  <si>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</si>
  <si>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</si>
  <si>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</si>
  <si>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</si>
  <si>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</si>
  <si>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</si>
  <si>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</si>
  <si>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</si>
  <si>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</si>
  <si>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</si>
  <si>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</si>
  <si>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</si>
  <si>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</si>
  <si>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</si>
  <si>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</si>
  <si>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</si>
  <si>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</si>
  <si>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</si>
  <si>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</si>
  <si>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</si>
  <si>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</si>
  <si>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</si>
  <si>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</si>
  <si>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</si>
  <si>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</si>
  <si>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</si>
  <si>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</si>
  <si>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</si>
  <si>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</si>
  <si>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</si>
  <si>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</si>
  <si>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</si>
  <si>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</si>
  <si>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</si>
  <si>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</si>
  <si>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</si>
  <si>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</si>
  <si>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</si>
  <si>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</si>
  <si>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</si>
  <si>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</si>
  <si>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</si>
  <si>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</si>
  <si>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</si>
  <si>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</si>
  <si>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</si>
  <si>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</si>
  <si>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</si>
  <si>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</si>
  <si>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</si>
  <si>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</si>
  <si>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</si>
  <si>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</si>
  <si>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</si>
  <si>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</si>
  <si>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</si>
  <si>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</si>
  <si>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</si>
  <si>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</si>
  <si>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</si>
  <si>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</si>
  <si>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</si>
  <si>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</si>
  <si>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</si>
  <si>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</si>
  <si>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</si>
  <si>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</si>
  <si>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</si>
  <si>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</si>
  <si>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</si>
  <si>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</si>
  <si>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</si>
  <si>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</si>
  <si>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</si>
  <si>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</si>
  <si>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</si>
  <si>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</si>
  <si>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</si>
  <si>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</si>
  <si>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</si>
  <si>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</si>
  <si>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</si>
  <si>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</si>
  <si>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</si>
  <si>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</si>
  <si>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</si>
  <si>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</si>
  <si>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</si>
  <si>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</si>
  <si>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</si>
  <si>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</si>
  <si>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</si>
  <si>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</si>
  <si>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</si>
  <si>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</si>
  <si>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</si>
  <si>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</si>
  <si>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</si>
  <si>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</si>
  <si>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</si>
  <si>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</si>
  <si>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</si>
  <si>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</si>
  <si>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</si>
  <si>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</si>
  <si>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</si>
  <si>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</si>
  <si>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</si>
  <si>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</si>
  <si>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</si>
  <si>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</si>
  <si>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</si>
  <si>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</si>
  <si>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</si>
  <si>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</si>
  <si>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</si>
  <si>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</si>
  <si>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</si>
  <si>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</si>
  <si>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</si>
  <si>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</si>
  <si>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</si>
  <si>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</si>
  <si>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</si>
  <si>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</si>
  <si>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</si>
  <si>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</si>
  <si>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</si>
  <si>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</si>
  <si>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</si>
  <si>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</si>
  <si>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</si>
  <si>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</si>
  <si>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</si>
  <si>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</si>
  <si>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</si>
  <si>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</si>
  <si>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</si>
  <si>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</si>
  <si>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</si>
  <si>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</si>
  <si>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</si>
  <si>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</si>
  <si>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</si>
  <si>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</si>
  <si>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</si>
  <si>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</si>
  <si>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</si>
  <si>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</si>
  <si>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</si>
  <si>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</si>
  <si>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</si>
  <si>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</si>
  <si>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</si>
  <si>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</si>
  <si>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</si>
  <si>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</si>
  <si>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</si>
  <si>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</si>
  <si>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</si>
  <si>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</si>
  <si>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</si>
  <si>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</si>
  <si>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</si>
  <si>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</si>
  <si>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</si>
  <si>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</si>
  <si>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</si>
  <si>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</si>
  <si>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</si>
  <si>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</si>
  <si>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</si>
  <si>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</si>
  <si>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</si>
  <si>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</si>
  <si>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</si>
  <si>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</si>
  <si>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</si>
  <si>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</si>
  <si>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</si>
  <si>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</si>
  <si>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</si>
  <si>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</si>
  <si>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</si>
  <si>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</si>
  <si>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</si>
  <si>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</si>
  <si>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</si>
  <si>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</si>
  <si>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</si>
  <si>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</si>
  <si>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</si>
  <si>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</si>
  <si>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</si>
  <si>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</si>
  <si>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</si>
  <si>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</si>
  <si>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</si>
  <si>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</si>
  <si>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</si>
  <si>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</si>
  <si>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</si>
  <si>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</si>
  <si>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</si>
  <si>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</si>
  <si>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</si>
  <si>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</si>
  <si>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</si>
  <si>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</si>
  <si>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</si>
  <si>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</si>
  <si>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</si>
  <si>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</si>
  <si>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</si>
  <si>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</si>
  <si>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</si>
  <si>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</si>
  <si>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</si>
  <si>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</si>
  <si>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</si>
  <si>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</si>
  <si>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</si>
  <si>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</si>
  <si>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</si>
  <si>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</si>
  <si>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</si>
  <si>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</si>
  <si>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</si>
  <si>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</si>
  <si>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</si>
  <si>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</si>
  <si>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</si>
  <si>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</si>
  <si>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</si>
  <si>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</si>
  <si>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</si>
  <si>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</si>
  <si>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</si>
  <si>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</si>
  <si>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</si>
  <si>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</si>
  <si>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</si>
  <si>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</si>
  <si>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</si>
  <si>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</si>
  <si>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</si>
  <si>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</si>
  <si>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</si>
  <si>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</si>
  <si>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</si>
  <si>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</si>
  <si>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</si>
  <si>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</si>
  <si>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</si>
  <si>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</si>
  <si>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</si>
  <si>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</si>
  <si>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</si>
  <si>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</si>
  <si>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</si>
  <si>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</si>
  <si>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</si>
  <si>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</si>
  <si>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</si>
  <si>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</si>
  <si>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</si>
  <si>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</si>
  <si>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</si>
  <si>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</si>
  <si>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</si>
  <si>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</si>
  <si>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</si>
  <si>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</si>
  <si>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</si>
  <si>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</si>
  <si>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</si>
  <si>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</si>
  <si>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</si>
  <si>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</si>
  <si>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</si>
  <si>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</si>
  <si>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</si>
  <si>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</si>
  <si>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</si>
  <si>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</si>
  <si>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</si>
  <si>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</si>
  <si>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</si>
  <si>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</si>
  <si>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</si>
  <si>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</si>
  <si>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</si>
  <si>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</si>
  <si>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</si>
  <si>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</si>
  <si>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</si>
  <si>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</si>
  <si>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</si>
  <si>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</si>
  <si>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</si>
  <si>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</si>
  <si>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</si>
  <si>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</si>
  <si>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</si>
  <si>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</si>
  <si>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</si>
  <si>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</si>
  <si>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</si>
  <si>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</si>
  <si>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</si>
  <si>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</si>
  <si>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</si>
  <si>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</si>
  <si>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</si>
  <si>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</si>
  <si>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</si>
  <si>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</si>
  <si>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</si>
  <si>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</si>
  <si>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</si>
  <si>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</si>
  <si>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</si>
  <si>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</si>
  <si>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</si>
  <si>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</si>
  <si>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</si>
  <si>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</si>
  <si>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</si>
  <si>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</si>
  <si>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</si>
  <si>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</si>
  <si>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</si>
  <si>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</si>
  <si>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</si>
  <si>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</si>
  <si>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</si>
  <si>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</si>
  <si>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</si>
  <si>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</si>
  <si>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</si>
  <si>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</si>
  <si>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</si>
  <si>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</si>
  <si>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</si>
  <si>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</si>
  <si>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</si>
  <si>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</si>
  <si>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</si>
  <si>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</si>
  <si>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</si>
  <si>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</si>
  <si>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</si>
  <si>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</si>
  <si>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</si>
  <si>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</si>
  <si>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</si>
  <si>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</si>
  <si>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</si>
  <si>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</si>
  <si>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</si>
  <si>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</si>
  <si>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</si>
  <si>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</si>
  <si>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</si>
  <si>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</si>
  <si>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</si>
  <si>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</si>
  <si>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</si>
  <si>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</si>
  <si>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</si>
  <si>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</si>
  <si>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</si>
  <si>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</si>
  <si>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</si>
  <si>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</si>
  <si>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</si>
  <si>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</si>
  <si>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</si>
  <si>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</si>
  <si>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</si>
  <si>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</si>
  <si>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</si>
  <si>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</si>
  <si>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</si>
  <si>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</si>
  <si>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</si>
  <si>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</si>
  <si>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</si>
  <si>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</si>
  <si>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</si>
  <si>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</si>
  <si>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</si>
  <si>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</si>
  <si>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</si>
  <si>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</si>
  <si>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</si>
  <si>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</si>
  <si>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</si>
  <si>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</si>
  <si>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</si>
  <si>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</si>
  <si>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</si>
  <si>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</si>
  <si>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</si>
  <si>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</si>
  <si>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</si>
  <si>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</si>
  <si>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</si>
  <si>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</si>
  <si>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</si>
  <si>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</si>
  <si>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</si>
  <si>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</si>
  <si>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</si>
  <si>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</si>
  <si>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</si>
  <si>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</si>
  <si>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</si>
  <si>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</si>
  <si>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</si>
  <si>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</si>
  <si>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</si>
  <si>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</si>
  <si>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</si>
  <si>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</si>
  <si>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</si>
  <si>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</si>
  <si>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</si>
  <si>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</si>
  <si>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</si>
  <si>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</si>
  <si>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</si>
  <si>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</si>
  <si>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</si>
  <si>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</si>
  <si>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</si>
  <si>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</si>
  <si>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</si>
  <si>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</si>
  <si>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</si>
  <si>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</si>
  <si>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</si>
  <si>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</si>
  <si>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</si>
  <si>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</si>
  <si>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</si>
  <si>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</si>
  <si>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</si>
  <si>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</si>
  <si>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</si>
  <si>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</si>
  <si>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</si>
  <si>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</si>
  <si>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</si>
  <si>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</si>
  <si>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</si>
  <si>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</si>
  <si>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</si>
  <si>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</si>
  <si>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</si>
  <si>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</si>
  <si>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</si>
  <si>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</si>
  <si>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</si>
  <si>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</si>
  <si>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</si>
  <si>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</si>
  <si>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</si>
  <si>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</si>
  <si>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</si>
  <si>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</si>
  <si>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</si>
  <si>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</si>
  <si>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</si>
  <si>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</si>
  <si>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</si>
  <si>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</si>
  <si>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</si>
  <si>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</si>
  <si>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</si>
  <si>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</si>
  <si>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</si>
  <si>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</si>
  <si>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</si>
  <si>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</si>
  <si>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</si>
  <si>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</si>
  <si>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</si>
  <si>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</si>
  <si>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</si>
  <si>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</si>
  <si>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</si>
  <si>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</si>
  <si>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</si>
  <si>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</si>
  <si>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</si>
  <si>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</si>
  <si>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</si>
  <si>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</si>
  <si>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</si>
  <si>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</si>
  <si>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</si>
  <si>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</si>
  <si>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</si>
  <si>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</si>
  <si>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</si>
  <si>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</si>
  <si>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</si>
  <si>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</si>
  <si>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</si>
  <si>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</si>
  <si>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</si>
  <si>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</si>
  <si>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</si>
  <si>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</si>
  <si>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</si>
  <si>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</si>
  <si>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</si>
  <si>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</si>
  <si>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</si>
  <si>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</si>
  <si>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</si>
  <si>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</si>
  <si>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</si>
  <si>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</si>
  <si>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</si>
  <si>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</si>
  <si>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</si>
  <si>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</si>
  <si>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</si>
  <si>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</si>
  <si>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</si>
  <si>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</si>
  <si>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</si>
  <si>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</si>
  <si>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</si>
  <si>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</si>
  <si>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</si>
  <si>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</si>
  <si>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</si>
  <si>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</si>
  <si>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</si>
  <si>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</si>
  <si>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</si>
  <si>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</si>
  <si>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</si>
  <si>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</si>
  <si>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</si>
  <si>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</si>
  <si>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</si>
  <si>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</si>
  <si>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</si>
  <si>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</si>
  <si>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</si>
  <si>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</si>
  <si>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</si>
  <si>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</si>
  <si>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</si>
  <si>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</si>
  <si>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</si>
  <si>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</si>
  <si>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</si>
  <si>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</si>
  <si>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</si>
  <si>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</si>
  <si>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</si>
  <si>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</si>
  <si>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</si>
  <si>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</si>
  <si>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</si>
  <si>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</si>
  <si>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</si>
  <si>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</si>
  <si>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</si>
  <si>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</si>
  <si>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</si>
  <si>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</si>
  <si>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</si>
  <si>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</si>
  <si>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</si>
  <si>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</si>
  <si>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</si>
  <si>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</si>
  <si>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</si>
  <si>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</si>
  <si>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</si>
  <si>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</si>
  <si>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</si>
  <si>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</si>
  <si>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</si>
  <si>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</si>
  <si>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</si>
  <si>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</si>
  <si>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</si>
  <si>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</si>
  <si>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</si>
  <si>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</si>
  <si>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</si>
  <si>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</si>
  <si>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</si>
  <si>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</si>
  <si>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</si>
  <si>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</si>
  <si>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</si>
  <si>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</si>
  <si>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</si>
  <si>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</si>
  <si>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</si>
  <si>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</si>
  <si>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</si>
  <si>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</si>
  <si>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</si>
  <si>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</si>
  <si>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</si>
  <si>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</si>
  <si>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</si>
  <si>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</si>
  <si>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</si>
  <si>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</si>
  <si>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</si>
  <si>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</si>
  <si>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</si>
  <si>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</si>
  <si>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</si>
  <si>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</si>
  <si>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</si>
  <si>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</si>
  <si>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</si>
  <si>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</si>
  <si>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</si>
  <si>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</si>
  <si>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</si>
  <si>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</si>
  <si>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</si>
  <si>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</si>
  <si>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</si>
  <si>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</si>
  <si>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</si>
  <si>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</si>
  <si>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</si>
  <si>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</si>
  <si>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</si>
  <si>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</si>
  <si>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</si>
  <si>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</si>
  <si>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</si>
  <si>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</si>
  <si>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</si>
  <si>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</si>
  <si>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</si>
  <si>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</si>
  <si>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</si>
  <si>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</si>
  <si>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</si>
  <si>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</si>
  <si>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</si>
  <si>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</si>
  <si>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</si>
  <si>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</si>
  <si>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</si>
  <si>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</si>
  <si>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</si>
  <si>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</si>
  <si>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</si>
  <si>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</si>
  <si>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</si>
  <si>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</si>
  <si>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</si>
  <si>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</si>
  <si>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</si>
  <si>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</si>
  <si>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</si>
  <si>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</si>
  <si>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</si>
  <si>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</si>
  <si>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</si>
  <si>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</si>
  <si>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</si>
  <si>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</si>
  <si>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</si>
  <si>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</si>
  <si>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</si>
  <si>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</si>
  <si>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</si>
  <si>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</si>
  <si>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</si>
  <si>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</si>
  <si>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</si>
  <si>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</si>
  <si>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</si>
  <si>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</si>
  <si>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</si>
  <si>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</si>
  <si>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</si>
  <si>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</si>
  <si>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</si>
  <si>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</si>
  <si>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</si>
  <si>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</si>
  <si>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</si>
  <si>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</si>
  <si>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</si>
  <si>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</si>
  <si>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</si>
  <si>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</si>
  <si>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</si>
  <si>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</si>
  <si>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</si>
  <si>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</si>
  <si>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</si>
  <si>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</si>
  <si>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</si>
  <si>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</si>
  <si>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</si>
  <si>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</si>
  <si>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</si>
  <si>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</si>
  <si>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</si>
  <si>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</si>
  <si>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</si>
  <si>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</si>
  <si>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</si>
  <si>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</si>
  <si>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</si>
  <si>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</si>
  <si>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</si>
  <si>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</si>
  <si>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</si>
  <si>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</si>
  <si>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</si>
  <si>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</si>
  <si>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</si>
  <si>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</si>
  <si>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</si>
  <si>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</si>
  <si>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</si>
  <si>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</si>
  <si>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</si>
  <si>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</si>
  <si>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</si>
  <si>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</si>
  <si>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</si>
  <si>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</si>
  <si>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</si>
  <si>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</si>
  <si>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</si>
  <si>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</si>
  <si>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</si>
  <si>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</si>
  <si>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</si>
  <si>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</si>
  <si>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</si>
  <si>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</si>
  <si>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</si>
  <si>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</si>
  <si>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</si>
  <si>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</si>
  <si>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</si>
  <si>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</si>
  <si>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</si>
  <si>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</si>
  <si>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</si>
  <si>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</si>
  <si>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</si>
  <si>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</si>
  <si>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</si>
  <si>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</si>
  <si>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</si>
  <si>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</si>
  <si>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</si>
  <si>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</si>
  <si>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</si>
  <si>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</si>
  <si>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</si>
  <si>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</si>
  <si>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</si>
  <si>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</si>
  <si>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</si>
  <si>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</si>
  <si>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</si>
  <si>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</si>
  <si>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</si>
  <si>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</si>
  <si>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</si>
  <si>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</si>
  <si>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</si>
  <si>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</si>
  <si>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</si>
  <si>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</si>
  <si>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</si>
  <si>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</si>
  <si>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</si>
  <si>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</si>
  <si>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</si>
  <si>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</si>
  <si>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</si>
  <si>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</si>
  <si>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</si>
  <si>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</si>
  <si>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</si>
  <si>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</si>
  <si>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</si>
  <si>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</si>
  <si>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</si>
  <si>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</si>
  <si>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</si>
  <si>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</si>
  <si>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</si>
  <si>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</si>
  <si>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</si>
  <si>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</si>
  <si>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</si>
  <si>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</si>
  <si>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</si>
  <si>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</si>
  <si>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</si>
  <si>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</si>
  <si>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</si>
  <si>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</si>
  <si>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</si>
  <si>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</si>
  <si>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</si>
  <si>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</si>
  <si>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</si>
  <si>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</si>
  <si>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</si>
  <si>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</si>
  <si>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</si>
  <si>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</si>
  <si>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</si>
  <si>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</si>
  <si>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</si>
  <si>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</si>
  <si>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</si>
  <si>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</si>
  <si>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</si>
  <si>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</si>
  <si>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</si>
  <si>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</si>
  <si>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</si>
  <si>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</si>
  <si>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</si>
  <si>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</si>
  <si>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</si>
  <si>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</si>
  <si>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</si>
  <si>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</si>
  <si>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</si>
  <si>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</si>
  <si>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</si>
  <si>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</si>
  <si>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</si>
  <si>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</si>
  <si>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</si>
  <si>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</si>
  <si>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</si>
  <si>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</si>
  <si>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</si>
  <si>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</si>
  <si>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</si>
  <si>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</si>
  <si>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</si>
  <si>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</si>
  <si>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</si>
  <si>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</si>
  <si>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</si>
  <si>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</si>
  <si>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</si>
  <si>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</si>
  <si>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</si>
  <si>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</si>
  <si>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</si>
  <si>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</si>
  <si>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</si>
  <si>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</si>
  <si>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</si>
  <si>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</si>
  <si>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</si>
  <si>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</si>
  <si>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</si>
  <si>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</si>
  <si>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</si>
  <si>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</si>
  <si>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</si>
  <si>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</si>
  <si>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</si>
  <si>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</si>
  <si>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</si>
  <si>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</si>
  <si>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</si>
  <si>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</si>
  <si>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</si>
  <si>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</si>
  <si>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</si>
  <si>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</si>
  <si>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</si>
  <si>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</si>
  <si>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</si>
  <si>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</si>
  <si>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</si>
  <si>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</si>
  <si>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</si>
  <si>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</si>
  <si>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</si>
  <si>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</si>
  <si>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</si>
  <si>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</si>
  <si>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</si>
  <si>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</si>
  <si>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</si>
  <si>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</si>
  <si>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</si>
  <si>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</si>
  <si>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</si>
  <si>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</si>
  <si>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</si>
  <si>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</si>
  <si>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</si>
  <si>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</si>
  <si>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</si>
  <si>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</si>
  <si>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</si>
  <si>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</si>
  <si>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</si>
  <si>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</si>
  <si>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</si>
  <si>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</si>
  <si>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</si>
  <si>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</si>
  <si>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</si>
  <si>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</si>
  <si>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</si>
  <si>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</si>
  <si>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</si>
  <si>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</si>
  <si>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</si>
  <si>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</si>
  <si>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</si>
  <si>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</si>
  <si>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</si>
  <si>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</si>
  <si>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</si>
  <si>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</si>
  <si>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</si>
  <si>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</si>
  <si>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</si>
  <si>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</si>
  <si>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</si>
  <si>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</si>
  <si>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</si>
  <si>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</si>
  <si>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</si>
  <si>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</si>
  <si>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</si>
  <si>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</si>
  <si>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</si>
  <si>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</si>
  <si>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</si>
  <si>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</si>
  <si>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</si>
  <si>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</si>
  <si>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</si>
  <si>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</si>
  <si>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</si>
  <si>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</si>
  <si>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</si>
  <si>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</si>
  <si>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</si>
  <si>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</si>
  <si>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</si>
  <si>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</si>
  <si>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</si>
  <si>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</si>
  <si>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</si>
  <si>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</si>
  <si>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</si>
  <si>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</si>
  <si>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</si>
  <si>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</si>
  <si>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</si>
  <si>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</si>
  <si>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</si>
  <si>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</si>
  <si>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</si>
  <si>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</si>
  <si>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</si>
  <si>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</si>
  <si>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</si>
  <si>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</si>
  <si>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</si>
  <si>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</si>
  <si>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</si>
  <si>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</si>
  <si>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</si>
  <si>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</si>
  <si>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</si>
  <si>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</si>
  <si>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</si>
  <si>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</si>
  <si>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</si>
  <si>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</si>
  <si>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</si>
  <si>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</si>
  <si>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</si>
  <si>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</si>
  <si>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</si>
  <si>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</si>
  <si>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</si>
  <si>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</si>
  <si>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</si>
  <si>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</si>
  <si>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</si>
  <si>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</si>
  <si>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</si>
  <si>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</si>
  <si>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</si>
  <si>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</si>
  <si>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</si>
  <si>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</si>
  <si>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</si>
  <si>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</si>
  <si>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</si>
  <si>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</si>
  <si>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</si>
  <si>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</si>
  <si>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</si>
  <si>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</si>
  <si>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</si>
  <si>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</si>
  <si>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</si>
  <si>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</si>
  <si>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</si>
  <si>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</si>
  <si>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</si>
  <si>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</si>
  <si>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</si>
  <si>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</si>
  <si>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</si>
  <si>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</si>
  <si>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</si>
  <si>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</si>
  <si>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</si>
  <si>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</si>
  <si>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</si>
  <si>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</si>
  <si>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</si>
  <si>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</si>
  <si>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</si>
  <si>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</si>
  <si>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</si>
  <si>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</si>
  <si>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</si>
  <si>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</si>
  <si>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</si>
  <si>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</si>
  <si>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</si>
  <si>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</si>
  <si>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</si>
  <si>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</si>
  <si>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</si>
  <si>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</si>
  <si>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</si>
  <si>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</si>
  <si>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</si>
  <si>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</si>
  <si>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</si>
  <si>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</si>
  <si>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</si>
  <si>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</si>
  <si>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</si>
  <si>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</si>
  <si>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</si>
  <si>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</si>
  <si>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</si>
  <si>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</si>
  <si>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</si>
  <si>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</si>
  <si>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</si>
  <si>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</si>
  <si>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</si>
  <si>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</si>
  <si>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</si>
  <si>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</si>
  <si>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</si>
  <si>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</si>
  <si>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</si>
  <si>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</si>
  <si>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</si>
  <si>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</si>
  <si>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</si>
  <si>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</si>
  <si>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</si>
  <si>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</si>
  <si>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</si>
  <si>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</si>
  <si>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</si>
  <si>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</si>
  <si>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</si>
  <si>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</si>
  <si>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</si>
  <si>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</si>
  <si>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</si>
  <si>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</si>
  <si>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</si>
  <si>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</si>
  <si>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</si>
  <si>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</si>
  <si>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</si>
  <si>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</si>
  <si>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</si>
  <si>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</si>
  <si>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</si>
  <si>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</si>
  <si>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</si>
  <si>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</si>
  <si>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</si>
  <si>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</si>
  <si>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</si>
  <si>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</si>
  <si>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</si>
  <si>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</si>
  <si>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</si>
  <si>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</si>
  <si>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</si>
  <si>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</si>
  <si>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</si>
  <si>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</si>
  <si>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</si>
  <si>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</si>
  <si>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</si>
  <si>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</si>
  <si>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</si>
  <si>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</si>
  <si>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</si>
  <si>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</si>
  <si>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</si>
  <si>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</si>
  <si>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</si>
  <si>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</si>
  <si>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</si>
  <si>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</si>
  <si>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</si>
  <si>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</si>
  <si>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</si>
  <si>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</si>
  <si>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</si>
  <si>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</si>
  <si>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</si>
  <si>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</si>
  <si>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</si>
  <si>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</si>
  <si>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</si>
  <si>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</si>
  <si>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</si>
  <si>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</si>
  <si>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</si>
  <si>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</si>
  <si>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</si>
  <si>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</si>
  <si>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</si>
  <si>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</si>
  <si>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</si>
  <si>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</si>
  <si>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</si>
  <si>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</si>
  <si>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</si>
  <si>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</si>
  <si>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</si>
  <si>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</si>
  <si>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</si>
  <si>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</si>
  <si>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</si>
  <si>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</si>
  <si>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</si>
  <si>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</si>
  <si>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</si>
  <si>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</si>
  <si>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</si>
  <si>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</si>
  <si>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</si>
  <si>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</si>
  <si>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</si>
  <si>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</si>
  <si>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</si>
  <si>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</si>
  <si>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</si>
  <si>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</si>
  <si>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</si>
  <si>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</si>
  <si>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</si>
  <si>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</si>
  <si>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</si>
  <si>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</si>
  <si>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</si>
  <si>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</si>
  <si>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</si>
  <si>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</si>
  <si>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</si>
  <si>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</si>
  <si>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</si>
  <si>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</si>
  <si>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</si>
  <si>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</si>
  <si>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</si>
  <si>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</si>
  <si>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</si>
  <si>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</si>
  <si>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</si>
  <si>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</si>
  <si>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</si>
  <si>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</si>
  <si>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</si>
  <si>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</si>
  <si>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</si>
  <si>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</si>
  <si>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</si>
  <si>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</si>
  <si>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</si>
  <si>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</si>
  <si>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</si>
  <si>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</si>
  <si>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</si>
  <si>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</si>
  <si>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</si>
  <si>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</si>
  <si>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</si>
  <si>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</si>
  <si>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</si>
  <si>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</si>
  <si>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</si>
  <si>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</si>
  <si>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</si>
  <si>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</si>
  <si>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</si>
  <si>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</si>
  <si>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</si>
  <si>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</si>
  <si>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</si>
  <si>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</si>
  <si>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</si>
  <si>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</si>
  <si>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</si>
  <si>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</si>
  <si>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</si>
  <si>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</si>
  <si>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</si>
  <si>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</si>
  <si>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</si>
  <si>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</si>
  <si>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</si>
  <si>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</si>
  <si>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</si>
  <si>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</si>
  <si>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</si>
  <si>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</si>
  <si>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</si>
  <si>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</si>
  <si>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</si>
  <si>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</si>
  <si>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</si>
  <si>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</si>
  <si>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FUNDACIÓN CENTRO DOCENTE ESTEBAN PERNET</t>
  </si>
  <si>
    <t>1323-2014</t>
  </si>
  <si>
    <t>Realizar cualificación al talento humano en estrategias de autoprotección de niños y niñas frente al abuso sexual.</t>
  </si>
  <si>
    <t>1324-2015</t>
  </si>
  <si>
    <t>1325-2016</t>
  </si>
  <si>
    <t>1326-2017</t>
  </si>
  <si>
    <t>1327-2018</t>
  </si>
  <si>
    <t>1328-2019</t>
  </si>
  <si>
    <t>Realización de talleres que promuevan la participación y el protagonismo de niños y niñas y fortalecer el tejido social en la construcción de una comunidad.</t>
  </si>
  <si>
    <t>Guiar los procesos de construcción de Lineamientos y procedimientos necesarios que implican la implementación de un
proyecto de inclusión de niños y niñas con Autismo.</t>
  </si>
  <si>
    <t>Realizar procesos de formación, acompañamiento y fortalecimiento a las familias en su rol como garante de sus derechos para promover el desarrollo integral de los niños y niñas</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</si>
  <si>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</si>
  <si>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</si>
  <si>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</si>
  <si>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</si>
  <si>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</si>
  <si>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</si>
  <si>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</si>
  <si>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</si>
  <si>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</si>
  <si>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KATHERINE ROA MEDINA</t>
  </si>
  <si>
    <t>KATHERINE ROA</t>
  </si>
  <si>
    <t>LEYDI KATHERINE ROA MEDINA</t>
  </si>
  <si>
    <t>CRA 47C 147 BRR BELLAVISTA-BUENAVENTURA</t>
  </si>
  <si>
    <t>f.fundasolyvida@hotmail.com</t>
  </si>
  <si>
    <t>1220-2010</t>
  </si>
  <si>
    <t>1221-2011</t>
  </si>
  <si>
    <t>1222-2012</t>
  </si>
  <si>
    <t>1223-2013</t>
  </si>
  <si>
    <t>Realizar procesos de formación, acompañamiento y fortalecimiento a las familias en su rol como garante de sus derechos  para promover el desarrollo integral de los niños y niñas</t>
  </si>
  <si>
    <t>2021-76-10001890</t>
  </si>
  <si>
    <t>3168733642</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</si>
  <si>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</si>
  <si>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</si>
  <si>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</si>
  <si>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</si>
  <si>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</si>
  <si>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</si>
  <si>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</si>
  <si>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</si>
  <si>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</si>
  <si>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</si>
  <si>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</si>
  <si>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no</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</si>
  <si>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</si>
  <si>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</si>
  <si>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</si>
  <si>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</si>
  <si>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</si>
  <si>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</si>
  <si>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CRA 67 # 32B-36 MEDELLIN</t>
  </si>
  <si>
    <t>3226517934</t>
  </si>
  <si>
    <t>forjadoresdeamor@hotmail.com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</si>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</sst>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6" zoomScale="60" zoomScaleNormal="60" zoomScaleSheetLayoutView="40" zoomScalePageLayoutView="40" workbookViewId="0">
      <selection activeCell="N198" sqref="N19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71" t="str">
        <f>HYPERLINK("#Integrante_1!A109","CAPACIDAD RESIDUAL")</f>
        <v>CAPACIDAD RESIDUAL</v>
      </c>
      <c r="F8" s="272"/>
      <c r="G8" s="273"/>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71" t="str">
        <f>HYPERLINK("#Integrante_1!A162","TALENTO HUMANO")</f>
        <v>TALENTO HUMANO</v>
      </c>
      <c r="F9" s="272"/>
      <c r="G9" s="273"/>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71" t="str">
        <f>HYPERLINK("#Integrante_1!F162","INFRAESTRUCTURA")</f>
        <v>INFRAESTRUCTURA</v>
      </c>
      <c r="F10" s="272"/>
      <c r="G10" s="273"/>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2712</v>
      </c>
      <c r="D15" s="35"/>
      <c r="E15" s="35"/>
      <c r="F15" s="5"/>
      <c r="G15" s="32" t="s">
        <v>1168</v>
      </c>
      <c r="H15" s="105" t="s">
        <v>1033</v>
      </c>
      <c r="I15" s="32" t="s">
        <v>2629</v>
      </c>
      <c r="J15" s="110" t="s">
        <v>2637</v>
      </c>
      <c r="L15" s="268" t="s">
        <v>8</v>
      </c>
      <c r="M15" s="268"/>
      <c r="N15" s="18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95">
        <v>900284514</v>
      </c>
      <c r="C20" s="5"/>
      <c r="D20" s="74"/>
      <c r="E20" s="160" t="s">
        <v>2670</v>
      </c>
      <c r="F20" s="162" t="s">
        <v>2681</v>
      </c>
      <c r="G20" s="5"/>
      <c r="H20" s="274"/>
      <c r="I20" s="149" t="s">
        <v>1155</v>
      </c>
      <c r="J20" s="150" t="s">
        <v>1063</v>
      </c>
      <c r="K20" s="151">
        <v>2728306406</v>
      </c>
      <c r="L20" s="152">
        <v>44194</v>
      </c>
      <c r="M20" s="152">
        <v>44561</v>
      </c>
      <c r="N20" s="135">
        <f>+(M20-L20)/30</f>
        <v>12.233333333333333</v>
      </c>
      <c r="O20" s="138"/>
      <c r="U20" s="134"/>
      <c r="V20" s="107">
        <f ca="1">NOW()</f>
        <v>44194.920321180558</v>
      </c>
      <c r="W20" s="107">
        <f ca="1">NOW()</f>
        <v>44194.920321180558</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str">
        <f>VLOOKUP(B20,EAS!A2:B1439,2,0)</f>
        <v>FUNDACION PARA EL DESARROLLO SOCIAL, EDUCATIVO, CULTURAL,AMBIENTAL Y EN SALUD, SOL Y VIDA PARA COLOMBIA</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t="s">
        <v>2735</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2682</v>
      </c>
      <c r="C48" s="114" t="s">
        <v>32</v>
      </c>
      <c r="D48" s="112" t="s">
        <v>2707</v>
      </c>
      <c r="E48" s="145">
        <v>40193</v>
      </c>
      <c r="F48" s="145">
        <v>40527</v>
      </c>
      <c r="G48" s="172">
        <f>IF(AND(E48&lt;&gt;"",F48&lt;&gt;""),((F48-E48)/30),"")</f>
        <v>11.133333333333333</v>
      </c>
      <c r="H48" s="116" t="s">
        <v>2684</v>
      </c>
      <c r="I48" s="115" t="s">
        <v>1155</v>
      </c>
      <c r="J48" s="115" t="s">
        <v>1063</v>
      </c>
      <c r="K48" s="118">
        <v>7000000</v>
      </c>
      <c r="L48" s="117" t="s">
        <v>1148</v>
      </c>
      <c r="M48" s="119">
        <v>1</v>
      </c>
      <c r="N48" s="117" t="s">
        <v>27</v>
      </c>
      <c r="O48" s="117" t="s">
        <v>1148</v>
      </c>
      <c r="P48" s="80"/>
    </row>
    <row r="49" spans="1:16" s="6" customFormat="1" ht="24.75" customHeight="1" x14ac:dyDescent="0.25">
      <c r="A49" s="143">
        <v>2</v>
      </c>
      <c r="B49" s="123" t="s">
        <v>2682</v>
      </c>
      <c r="C49" s="114" t="s">
        <v>32</v>
      </c>
      <c r="D49" s="112" t="s">
        <v>2708</v>
      </c>
      <c r="E49" s="145">
        <v>40558</v>
      </c>
      <c r="F49" s="145">
        <v>40897</v>
      </c>
      <c r="G49" s="172">
        <f t="shared" ref="G49:G107" si="2">IF(AND(E49&lt;&gt;"",F49&lt;&gt;""),((F49-E49)/30),"")</f>
        <v>11.3</v>
      </c>
      <c r="H49" s="116" t="s">
        <v>2690</v>
      </c>
      <c r="I49" s="115" t="s">
        <v>1155</v>
      </c>
      <c r="J49" s="115" t="s">
        <v>1063</v>
      </c>
      <c r="K49" s="118">
        <v>8300000</v>
      </c>
      <c r="L49" s="117" t="s">
        <v>1148</v>
      </c>
      <c r="M49" s="119">
        <v>1</v>
      </c>
      <c r="N49" s="117" t="s">
        <v>27</v>
      </c>
      <c r="O49" s="117" t="s">
        <v>1148</v>
      </c>
      <c r="P49" s="80"/>
    </row>
    <row r="50" spans="1:16" s="6" customFormat="1" ht="24.75" customHeight="1" x14ac:dyDescent="0.25">
      <c r="A50" s="143">
        <v>3</v>
      </c>
      <c r="B50" s="123" t="s">
        <v>2682</v>
      </c>
      <c r="C50" s="114" t="s">
        <v>32</v>
      </c>
      <c r="D50" s="122" t="s">
        <v>2709</v>
      </c>
      <c r="E50" s="145">
        <v>40923</v>
      </c>
      <c r="F50" s="145">
        <v>41263</v>
      </c>
      <c r="G50" s="172">
        <f t="shared" si="2"/>
        <v>11.333333333333334</v>
      </c>
      <c r="H50" s="121" t="s">
        <v>2691</v>
      </c>
      <c r="I50" s="115" t="s">
        <v>1155</v>
      </c>
      <c r="J50" s="115" t="s">
        <v>1063</v>
      </c>
      <c r="K50" s="118">
        <v>9100000</v>
      </c>
      <c r="L50" s="117" t="s">
        <v>1148</v>
      </c>
      <c r="M50" s="119">
        <v>1</v>
      </c>
      <c r="N50" s="117" t="s">
        <v>27</v>
      </c>
      <c r="O50" s="117" t="s">
        <v>1148</v>
      </c>
      <c r="P50" s="80"/>
    </row>
    <row r="51" spans="1:16" s="6" customFormat="1" ht="24.75" customHeight="1" outlineLevel="1" x14ac:dyDescent="0.25">
      <c r="A51" s="143">
        <v>4</v>
      </c>
      <c r="B51" s="123" t="s">
        <v>2682</v>
      </c>
      <c r="C51" s="114" t="s">
        <v>32</v>
      </c>
      <c r="D51" s="122" t="s">
        <v>2710</v>
      </c>
      <c r="E51" s="145">
        <v>41289</v>
      </c>
      <c r="F51" s="145">
        <v>41623</v>
      </c>
      <c r="G51" s="172">
        <f t="shared" si="2"/>
        <v>11.133333333333333</v>
      </c>
      <c r="H51" s="123" t="s">
        <v>2711</v>
      </c>
      <c r="I51" s="115" t="s">
        <v>1155</v>
      </c>
      <c r="J51" s="115" t="s">
        <v>1063</v>
      </c>
      <c r="K51" s="118">
        <v>10800000</v>
      </c>
      <c r="L51" s="117" t="s">
        <v>1148</v>
      </c>
      <c r="M51" s="119">
        <v>1</v>
      </c>
      <c r="N51" s="117" t="s">
        <v>27</v>
      </c>
      <c r="O51" s="117" t="s">
        <v>1148</v>
      </c>
      <c r="P51" s="80"/>
    </row>
    <row r="52" spans="1:16" s="7" customFormat="1" ht="24.75" customHeight="1" outlineLevel="1" x14ac:dyDescent="0.25">
      <c r="A52" s="144">
        <v>5</v>
      </c>
      <c r="B52" s="113" t="s">
        <v>2682</v>
      </c>
      <c r="C52" s="114" t="s">
        <v>32</v>
      </c>
      <c r="D52" s="112" t="s">
        <v>2683</v>
      </c>
      <c r="E52" s="145">
        <v>41655</v>
      </c>
      <c r="F52" s="145">
        <v>41655</v>
      </c>
      <c r="G52" s="172">
        <f t="shared" si="2"/>
        <v>0</v>
      </c>
      <c r="H52" s="121" t="s">
        <v>2684</v>
      </c>
      <c r="I52" s="115" t="s">
        <v>1155</v>
      </c>
      <c r="J52" s="115" t="s">
        <v>1063</v>
      </c>
      <c r="K52" s="118">
        <v>15500000</v>
      </c>
      <c r="L52" s="117" t="s">
        <v>1148</v>
      </c>
      <c r="M52" s="119">
        <v>1</v>
      </c>
      <c r="N52" s="117" t="s">
        <v>27</v>
      </c>
      <c r="O52" s="117" t="s">
        <v>1148</v>
      </c>
      <c r="P52" s="81"/>
    </row>
    <row r="53" spans="1:16" s="7" customFormat="1" ht="24.75" customHeight="1" outlineLevel="1" x14ac:dyDescent="0.25">
      <c r="A53" s="144">
        <v>6</v>
      </c>
      <c r="B53" s="123" t="s">
        <v>2682</v>
      </c>
      <c r="C53" s="114" t="s">
        <v>32</v>
      </c>
      <c r="D53" s="112" t="s">
        <v>2685</v>
      </c>
      <c r="E53" s="145">
        <v>42019</v>
      </c>
      <c r="F53" s="145">
        <v>42358</v>
      </c>
      <c r="G53" s="172">
        <f t="shared" si="2"/>
        <v>11.3</v>
      </c>
      <c r="H53" s="121" t="s">
        <v>2690</v>
      </c>
      <c r="I53" s="115" t="s">
        <v>1155</v>
      </c>
      <c r="J53" s="115" t="s">
        <v>1063</v>
      </c>
      <c r="K53" s="118">
        <v>17000000</v>
      </c>
      <c r="L53" s="117" t="s">
        <v>1148</v>
      </c>
      <c r="M53" s="119">
        <v>1</v>
      </c>
      <c r="N53" s="117" t="s">
        <v>27</v>
      </c>
      <c r="O53" s="117" t="s">
        <v>1148</v>
      </c>
      <c r="P53" s="81"/>
    </row>
    <row r="54" spans="1:16" s="7" customFormat="1" ht="24.75" customHeight="1" outlineLevel="1" x14ac:dyDescent="0.25">
      <c r="A54" s="144">
        <v>7</v>
      </c>
      <c r="B54" s="123" t="s">
        <v>2682</v>
      </c>
      <c r="C54" s="114" t="s">
        <v>32</v>
      </c>
      <c r="D54" s="112" t="s">
        <v>2686</v>
      </c>
      <c r="E54" s="145">
        <v>42385</v>
      </c>
      <c r="F54" s="145">
        <v>42720</v>
      </c>
      <c r="G54" s="172">
        <f t="shared" si="2"/>
        <v>11.166666666666666</v>
      </c>
      <c r="H54" s="121" t="s">
        <v>2691</v>
      </c>
      <c r="I54" s="115" t="s">
        <v>1155</v>
      </c>
      <c r="J54" s="115" t="s">
        <v>1063</v>
      </c>
      <c r="K54" s="120">
        <v>18300000</v>
      </c>
      <c r="L54" s="117" t="s">
        <v>1148</v>
      </c>
      <c r="M54" s="119">
        <v>1</v>
      </c>
      <c r="N54" s="117" t="s">
        <v>27</v>
      </c>
      <c r="O54" s="117" t="s">
        <v>1148</v>
      </c>
      <c r="P54" s="81"/>
    </row>
    <row r="55" spans="1:16" s="7" customFormat="1" ht="24.75" customHeight="1" outlineLevel="1" x14ac:dyDescent="0.25">
      <c r="A55" s="144">
        <v>8</v>
      </c>
      <c r="B55" s="123" t="s">
        <v>2682</v>
      </c>
      <c r="C55" s="114" t="s">
        <v>32</v>
      </c>
      <c r="D55" s="112" t="s">
        <v>2687</v>
      </c>
      <c r="E55" s="145">
        <v>42385</v>
      </c>
      <c r="F55" s="145">
        <v>43084</v>
      </c>
      <c r="G55" s="172">
        <f t="shared" si="2"/>
        <v>23.3</v>
      </c>
      <c r="H55" s="116" t="s">
        <v>2692</v>
      </c>
      <c r="I55" s="115" t="s">
        <v>1155</v>
      </c>
      <c r="J55" s="115" t="s">
        <v>1063</v>
      </c>
      <c r="K55" s="120">
        <v>19500000</v>
      </c>
      <c r="L55" s="117" t="s">
        <v>1148</v>
      </c>
      <c r="M55" s="119">
        <v>1</v>
      </c>
      <c r="N55" s="117" t="s">
        <v>27</v>
      </c>
      <c r="O55" s="117" t="s">
        <v>1148</v>
      </c>
      <c r="P55" s="81"/>
    </row>
    <row r="56" spans="1:16" s="7" customFormat="1" ht="24.75" customHeight="1" outlineLevel="1" x14ac:dyDescent="0.25">
      <c r="A56" s="144">
        <v>9</v>
      </c>
      <c r="B56" s="123" t="s">
        <v>2682</v>
      </c>
      <c r="C56" s="114" t="s">
        <v>32</v>
      </c>
      <c r="D56" s="112" t="s">
        <v>2688</v>
      </c>
      <c r="E56" s="145">
        <v>43115</v>
      </c>
      <c r="F56" s="145">
        <v>43448</v>
      </c>
      <c r="G56" s="172">
        <f t="shared" si="2"/>
        <v>11.1</v>
      </c>
      <c r="H56" s="116" t="s">
        <v>2690</v>
      </c>
      <c r="I56" s="115" t="s">
        <v>1155</v>
      </c>
      <c r="J56" s="115" t="s">
        <v>1063</v>
      </c>
      <c r="K56" s="120">
        <v>20700000</v>
      </c>
      <c r="L56" s="117" t="s">
        <v>1148</v>
      </c>
      <c r="M56" s="119">
        <v>1</v>
      </c>
      <c r="N56" s="117" t="s">
        <v>27</v>
      </c>
      <c r="O56" s="117" t="s">
        <v>1148</v>
      </c>
      <c r="P56" s="81"/>
    </row>
    <row r="57" spans="1:16" s="7" customFormat="1" ht="24.75" customHeight="1" outlineLevel="1" x14ac:dyDescent="0.25">
      <c r="A57" s="144">
        <v>10</v>
      </c>
      <c r="B57" s="123" t="s">
        <v>2682</v>
      </c>
      <c r="C57" s="65" t="s">
        <v>32</v>
      </c>
      <c r="D57" s="63" t="s">
        <v>2689</v>
      </c>
      <c r="E57" s="145">
        <v>43481</v>
      </c>
      <c r="F57" s="145">
        <v>43815</v>
      </c>
      <c r="G57" s="172">
        <f t="shared" si="2"/>
        <v>11.133333333333333</v>
      </c>
      <c r="H57" s="64" t="s">
        <v>2690</v>
      </c>
      <c r="I57" s="63" t="s">
        <v>1155</v>
      </c>
      <c r="J57" s="63" t="s">
        <v>1063</v>
      </c>
      <c r="K57" s="66">
        <v>21400000</v>
      </c>
      <c r="L57" s="65" t="s">
        <v>1148</v>
      </c>
      <c r="M57" s="67">
        <v>1</v>
      </c>
      <c r="N57" s="65" t="s">
        <v>27</v>
      </c>
      <c r="O57" s="65" t="s">
        <v>1148</v>
      </c>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2693</v>
      </c>
      <c r="E114" s="194">
        <v>43881</v>
      </c>
      <c r="F114" s="194">
        <v>44196</v>
      </c>
      <c r="G114" s="172">
        <f>IF(AND(E114&lt;&gt;"",F114&lt;&gt;""),((F114-E114)/30),"")</f>
        <v>10.5</v>
      </c>
      <c r="H114" s="121" t="s">
        <v>2698</v>
      </c>
      <c r="I114" s="122" t="s">
        <v>421</v>
      </c>
      <c r="J114" s="122" t="s">
        <v>442</v>
      </c>
      <c r="K114" s="68">
        <v>3914022119</v>
      </c>
      <c r="L114" s="102">
        <f>+IF(AND(K114&gt;0,O114="Ejecución"),(K114/877802)*Tabla28[[#This Row],[% participación]],IF(AND(K114&gt;0,O114&lt;&gt;"Ejecución"),"-",""))</f>
        <v>4458.8894978594262</v>
      </c>
      <c r="M114" s="125" t="s">
        <v>1148</v>
      </c>
      <c r="N114" s="181">
        <f>+IF(M116="No",1,IF(M116="Si","Ingrese %",""))</f>
        <v>1</v>
      </c>
      <c r="O114" s="177" t="s">
        <v>1150</v>
      </c>
      <c r="P114" s="80"/>
    </row>
    <row r="115" spans="1:16" s="6" customFormat="1" ht="24.75" customHeight="1" x14ac:dyDescent="0.25">
      <c r="A115" s="143">
        <v>2</v>
      </c>
      <c r="B115" s="175" t="s">
        <v>2672</v>
      </c>
      <c r="C115" s="176" t="s">
        <v>31</v>
      </c>
      <c r="D115" s="122" t="s">
        <v>2694</v>
      </c>
      <c r="E115" s="194">
        <v>43881</v>
      </c>
      <c r="F115" s="194">
        <v>44196</v>
      </c>
      <c r="G115" s="172">
        <f t="shared" ref="G115:G116" si="3">IF(AND(E115&lt;&gt;"",F115&lt;&gt;""),((F115-E115)/30),"")</f>
        <v>10.5</v>
      </c>
      <c r="H115" s="121" t="s">
        <v>2699</v>
      </c>
      <c r="I115" s="122" t="s">
        <v>1155</v>
      </c>
      <c r="J115" s="122" t="s">
        <v>1035</v>
      </c>
      <c r="K115" s="68">
        <v>3663773949</v>
      </c>
      <c r="L115" s="102">
        <f>+IF(AND(K115&gt;0,O115="Ejecución"),(K115/877802)*Tabla28[[#This Row],[% participación]],IF(AND(K115&gt;0,O115&lt;&gt;"Ejecución"),"-",""))</f>
        <v>4173.80451286281</v>
      </c>
      <c r="M115" s="65" t="s">
        <v>1148</v>
      </c>
      <c r="N115" s="181">
        <f>+IF(M116="No",1,IF(M116="Si","Ingrese %",""))</f>
        <v>1</v>
      </c>
      <c r="O115" s="177" t="s">
        <v>1150</v>
      </c>
      <c r="P115" s="80"/>
    </row>
    <row r="116" spans="1:16" s="6" customFormat="1" ht="24.75" customHeight="1" x14ac:dyDescent="0.25">
      <c r="A116" s="143">
        <v>3</v>
      </c>
      <c r="B116" s="175" t="s">
        <v>2672</v>
      </c>
      <c r="C116" s="176" t="s">
        <v>31</v>
      </c>
      <c r="D116" s="122" t="s">
        <v>2695</v>
      </c>
      <c r="E116" s="194">
        <v>43881</v>
      </c>
      <c r="F116" s="194">
        <v>44196</v>
      </c>
      <c r="G116" s="172">
        <f t="shared" si="3"/>
        <v>10.5</v>
      </c>
      <c r="H116" s="121" t="s">
        <v>2700</v>
      </c>
      <c r="I116" s="122" t="s">
        <v>1155</v>
      </c>
      <c r="J116" s="122" t="s">
        <v>1035</v>
      </c>
      <c r="K116" s="68">
        <v>856498192</v>
      </c>
      <c r="L116" s="102">
        <f>+IF(AND(K116&gt;0,O116="Ejecución"),(K116/877802)*Tabla28[[#This Row],[% participación]],IF(AND(K116&gt;0,O116&lt;&gt;"Ejecución"),"-",""))</f>
        <v>975.73050870241809</v>
      </c>
      <c r="M116" s="65"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2" t="s">
        <v>2696</v>
      </c>
      <c r="E117" s="194">
        <v>43881</v>
      </c>
      <c r="F117" s="194">
        <v>44196</v>
      </c>
      <c r="G117" s="172">
        <f t="shared" ref="G117:G159" si="5">IF(AND(E117&lt;&gt;"",F117&lt;&gt;""),((F117-E117)/30),"")</f>
        <v>10.5</v>
      </c>
      <c r="H117" s="121" t="s">
        <v>2700</v>
      </c>
      <c r="I117" s="122" t="s">
        <v>1155</v>
      </c>
      <c r="J117" s="122" t="s">
        <v>1035</v>
      </c>
      <c r="K117" s="68">
        <v>1790081221</v>
      </c>
      <c r="L117" s="102">
        <f>+IF(AND(K117&gt;0,O117="Ejecución"),(K117/877802)*Tabla28[[#This Row],[% participación]],IF(AND(K117&gt;0,O117&lt;&gt;"Ejecución"),"-",""))</f>
        <v>2039.2767628690754</v>
      </c>
      <c r="M117" s="65" t="s">
        <v>1148</v>
      </c>
      <c r="N117" s="181">
        <f t="shared" si="4"/>
        <v>1</v>
      </c>
      <c r="O117" s="177" t="s">
        <v>1150</v>
      </c>
      <c r="P117" s="80"/>
    </row>
    <row r="118" spans="1:16" s="7" customFormat="1" ht="24.75" customHeight="1" outlineLevel="1" x14ac:dyDescent="0.25">
      <c r="A118" s="144">
        <v>5</v>
      </c>
      <c r="B118" s="175" t="s">
        <v>2672</v>
      </c>
      <c r="C118" s="176" t="s">
        <v>31</v>
      </c>
      <c r="D118" s="122" t="s">
        <v>2697</v>
      </c>
      <c r="E118" s="194">
        <v>43881</v>
      </c>
      <c r="F118" s="194">
        <v>44196</v>
      </c>
      <c r="G118" s="172">
        <f t="shared" si="5"/>
        <v>10.5</v>
      </c>
      <c r="H118" s="121" t="s">
        <v>2701</v>
      </c>
      <c r="I118" s="122" t="s">
        <v>1155</v>
      </c>
      <c r="J118" s="122" t="s">
        <v>1035</v>
      </c>
      <c r="K118" s="68">
        <v>615321976</v>
      </c>
      <c r="L118" s="102">
        <f>+IF(AND(K118&gt;0,O118="Ejecución"),(K118/877802)*Tabla28[[#This Row],[% participación]],IF(AND(K118&gt;0,O118&lt;&gt;"Ejecución"),"-",""))</f>
        <v>700.98037598456142</v>
      </c>
      <c r="M118" s="65" t="s">
        <v>1148</v>
      </c>
      <c r="N118" s="181">
        <f t="shared" si="4"/>
        <v>1</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5"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8">
        <v>0.01</v>
      </c>
      <c r="G179" s="179">
        <f>IF(F179&gt;0,SUM(E179+F179),"")</f>
        <v>0.03</v>
      </c>
      <c r="H179" s="5"/>
      <c r="I179" s="257" t="s">
        <v>2675</v>
      </c>
      <c r="J179" s="258"/>
      <c r="K179" s="258"/>
      <c r="L179" s="259"/>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63" t="str">
        <f>IF(F180&gt;0,SUM(E180+F180),"")</f>
        <v/>
      </c>
      <c r="H180" s="5"/>
      <c r="I180" s="249" t="s">
        <v>1169</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3" t="str">
        <f>IF(F181&gt;0,SUM(E181+F181),"")</f>
        <v/>
      </c>
      <c r="H181" s="5"/>
      <c r="I181" s="249" t="s">
        <v>1170</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3" t="str">
        <f>IF(F182&gt;0,SUM(E182+F182),"")</f>
        <v/>
      </c>
      <c r="H182" s="5"/>
      <c r="I182" s="249" t="s">
        <v>1171</v>
      </c>
      <c r="J182" s="250"/>
      <c r="K182" s="25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81849192.179999992</v>
      </c>
      <c r="F185" s="94"/>
      <c r="G185" s="95"/>
      <c r="H185" s="90"/>
      <c r="I185" s="92" t="s">
        <v>2632</v>
      </c>
      <c r="J185" s="184">
        <f>M179</f>
        <v>0.02</v>
      </c>
      <c r="K185" s="253" t="s">
        <v>2633</v>
      </c>
      <c r="L185" s="253"/>
      <c r="M185" s="96">
        <f>+J185*K20</f>
        <v>54566128.120000005</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6" t="s">
        <v>2641</v>
      </c>
      <c r="C192" s="226"/>
      <c r="E192" s="5" t="s">
        <v>20</v>
      </c>
      <c r="H192" s="26" t="s">
        <v>24</v>
      </c>
      <c r="J192" s="5" t="s">
        <v>2642</v>
      </c>
      <c r="K192" s="5"/>
      <c r="M192" s="5"/>
      <c r="N192" s="5"/>
      <c r="O192" s="8"/>
      <c r="Q192" s="154"/>
      <c r="R192" s="155"/>
      <c r="S192" s="155"/>
      <c r="T192" s="154"/>
    </row>
    <row r="193" spans="1:18" x14ac:dyDescent="0.25">
      <c r="A193" s="9"/>
      <c r="C193" s="126">
        <v>43818</v>
      </c>
      <c r="D193" s="5"/>
      <c r="E193" s="127">
        <v>10508</v>
      </c>
      <c r="F193" s="5"/>
      <c r="G193" s="5"/>
      <c r="H193" s="147" t="s">
        <v>2702</v>
      </c>
      <c r="J193" s="5"/>
      <c r="K193" s="12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2703</v>
      </c>
      <c r="D211" s="21"/>
      <c r="G211" s="27" t="s">
        <v>2625</v>
      </c>
      <c r="H211" s="196" t="s">
        <v>2705</v>
      </c>
      <c r="J211" s="27" t="s">
        <v>2627</v>
      </c>
      <c r="K211" s="148" t="s">
        <v>2705</v>
      </c>
      <c r="L211" s="21"/>
      <c r="M211" s="21"/>
      <c r="N211" s="21"/>
      <c r="O211" s="8"/>
    </row>
    <row r="212" spans="1:15" x14ac:dyDescent="0.25">
      <c r="A212" s="9"/>
      <c r="B212" s="27" t="s">
        <v>2624</v>
      </c>
      <c r="C212" s="147" t="s">
        <v>2704</v>
      </c>
      <c r="D212" s="21"/>
      <c r="G212" s="27" t="s">
        <v>2626</v>
      </c>
      <c r="H212" s="196" t="s">
        <v>2713</v>
      </c>
      <c r="J212" s="27" t="s">
        <v>2628</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167" zoomScale="60" zoomScaleNormal="60" zoomScaleSheetLayoutView="40" zoomScalePageLayoutView="40" workbookViewId="0">
      <selection activeCell="O191" sqref="O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71" t="str">
        <f>HYPERLINK("#Integrante_2!A109","CAPACIDAD RESIDUAL")</f>
        <v>CAPACIDAD RESIDUAL</v>
      </c>
      <c r="F8" s="272"/>
      <c r="G8" s="273"/>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71" t="str">
        <f>HYPERLINK("#Integrante_2!A162","TALENTO HUMANO")</f>
        <v>TALENTO HUMANO</v>
      </c>
      <c r="F9" s="272"/>
      <c r="G9" s="273"/>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71" t="str">
        <f>HYPERLINK("#Integrante_2!F162","INFRAESTRUCTURA")</f>
        <v>INFRAESTRUCTURA</v>
      </c>
      <c r="F10" s="272"/>
      <c r="G10" s="273"/>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2712</v>
      </c>
      <c r="D15" s="35"/>
      <c r="E15" s="35"/>
      <c r="F15" s="5"/>
      <c r="G15" s="32" t="s">
        <v>1168</v>
      </c>
      <c r="H15" s="105" t="s">
        <v>1033</v>
      </c>
      <c r="I15" s="32" t="s">
        <v>2629</v>
      </c>
      <c r="J15" s="110" t="s">
        <v>2637</v>
      </c>
      <c r="L15" s="268" t="s">
        <v>8</v>
      </c>
      <c r="M15" s="268"/>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95">
        <v>900077807</v>
      </c>
      <c r="C20" s="5"/>
      <c r="D20" s="168"/>
      <c r="E20" s="160" t="s">
        <v>2670</v>
      </c>
      <c r="F20" s="162" t="s">
        <v>2681</v>
      </c>
      <c r="G20" s="5"/>
      <c r="H20" s="274"/>
      <c r="I20" s="149" t="s">
        <v>1155</v>
      </c>
      <c r="J20" s="150" t="s">
        <v>1063</v>
      </c>
      <c r="K20" s="151">
        <v>2728306406</v>
      </c>
      <c r="L20" s="152">
        <v>44194</v>
      </c>
      <c r="M20" s="152">
        <v>44561</v>
      </c>
      <c r="N20" s="135">
        <f>+(M20-L20)/30</f>
        <v>12.233333333333333</v>
      </c>
      <c r="O20" s="138"/>
      <c r="U20" s="134"/>
      <c r="V20" s="107">
        <f ca="1">NOW()</f>
        <v>44194.920321180558</v>
      </c>
      <c r="W20" s="107">
        <f ca="1">NOW()</f>
        <v>44194.920321180558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str">
        <f>VLOOKUP(B20,EAS!A2:B1439,2,0)</f>
        <v>CORPORACIÓN FORJADORES DE AMOR</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t="s">
        <v>2735</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1" t="s">
        <v>2714</v>
      </c>
      <c r="C48" s="125" t="s">
        <v>32</v>
      </c>
      <c r="D48" s="122" t="s">
        <v>2715</v>
      </c>
      <c r="E48" s="145">
        <v>40198</v>
      </c>
      <c r="F48" s="145">
        <v>40532</v>
      </c>
      <c r="G48" s="172">
        <f>IF(AND(E48&lt;&gt;"",F48&lt;&gt;""),((F48-E48)/30),"")</f>
        <v>11.133333333333333</v>
      </c>
      <c r="H48" s="121" t="s">
        <v>2724</v>
      </c>
      <c r="I48" s="122" t="s">
        <v>1155</v>
      </c>
      <c r="J48" s="122" t="s">
        <v>1063</v>
      </c>
      <c r="K48" s="124">
        <v>6000000</v>
      </c>
      <c r="L48" s="125" t="s">
        <v>2725</v>
      </c>
      <c r="M48" s="181">
        <v>1</v>
      </c>
      <c r="N48" s="125" t="s">
        <v>27</v>
      </c>
      <c r="O48" s="125" t="s">
        <v>2725</v>
      </c>
      <c r="P48" s="80"/>
    </row>
    <row r="49" spans="1:16" s="6" customFormat="1" ht="24.75" customHeight="1" x14ac:dyDescent="0.25">
      <c r="A49" s="143">
        <v>2</v>
      </c>
      <c r="B49" s="121" t="s">
        <v>2714</v>
      </c>
      <c r="C49" s="125" t="s">
        <v>32</v>
      </c>
      <c r="D49" s="122" t="s">
        <v>2716</v>
      </c>
      <c r="E49" s="145">
        <v>40557</v>
      </c>
      <c r="F49" s="145">
        <v>40891</v>
      </c>
      <c r="G49" s="172">
        <f t="shared" ref="G49:G107" si="1">IF(AND(E49&lt;&gt;"",F49&lt;&gt;""),((F49-E49)/30),"")</f>
        <v>11.133333333333333</v>
      </c>
      <c r="H49" s="121" t="s">
        <v>2724</v>
      </c>
      <c r="I49" s="122" t="s">
        <v>1155</v>
      </c>
      <c r="J49" s="122" t="s">
        <v>1063</v>
      </c>
      <c r="K49" s="124">
        <v>8500000</v>
      </c>
      <c r="L49" s="125" t="s">
        <v>2725</v>
      </c>
      <c r="M49" s="181">
        <v>1</v>
      </c>
      <c r="N49" s="125" t="s">
        <v>27</v>
      </c>
      <c r="O49" s="125" t="s">
        <v>2725</v>
      </c>
      <c r="P49" s="80"/>
    </row>
    <row r="50" spans="1:16" s="6" customFormat="1" ht="24.75" customHeight="1" x14ac:dyDescent="0.25">
      <c r="A50" s="143">
        <v>3</v>
      </c>
      <c r="B50" s="121" t="s">
        <v>2714</v>
      </c>
      <c r="C50" s="125" t="s">
        <v>32</v>
      </c>
      <c r="D50" s="122" t="s">
        <v>2717</v>
      </c>
      <c r="E50" s="145">
        <v>40920</v>
      </c>
      <c r="F50" s="145">
        <v>41256</v>
      </c>
      <c r="G50" s="172">
        <f t="shared" si="1"/>
        <v>11.2</v>
      </c>
      <c r="H50" s="121" t="s">
        <v>2724</v>
      </c>
      <c r="I50" s="122" t="s">
        <v>1155</v>
      </c>
      <c r="J50" s="122" t="s">
        <v>1063</v>
      </c>
      <c r="K50" s="124">
        <v>10700000</v>
      </c>
      <c r="L50" s="125" t="s">
        <v>2725</v>
      </c>
      <c r="M50" s="181">
        <v>1</v>
      </c>
      <c r="N50" s="125" t="s">
        <v>27</v>
      </c>
      <c r="O50" s="125" t="s">
        <v>2725</v>
      </c>
      <c r="P50" s="80"/>
    </row>
    <row r="51" spans="1:16" s="6" customFormat="1" ht="24.75" customHeight="1" outlineLevel="1" x14ac:dyDescent="0.25">
      <c r="A51" s="143">
        <v>4</v>
      </c>
      <c r="B51" s="121" t="s">
        <v>2714</v>
      </c>
      <c r="C51" s="125" t="s">
        <v>32</v>
      </c>
      <c r="D51" s="122" t="s">
        <v>2718</v>
      </c>
      <c r="E51" s="145">
        <v>41291</v>
      </c>
      <c r="F51" s="145">
        <v>41625</v>
      </c>
      <c r="G51" s="172">
        <f t="shared" si="1"/>
        <v>11.133333333333333</v>
      </c>
      <c r="H51" s="121" t="s">
        <v>2724</v>
      </c>
      <c r="I51" s="122" t="s">
        <v>1155</v>
      </c>
      <c r="J51" s="122" t="s">
        <v>1063</v>
      </c>
      <c r="K51" s="124">
        <v>13700000</v>
      </c>
      <c r="L51" s="125" t="s">
        <v>2725</v>
      </c>
      <c r="M51" s="181">
        <v>1</v>
      </c>
      <c r="N51" s="125" t="s">
        <v>27</v>
      </c>
      <c r="O51" s="125" t="s">
        <v>2725</v>
      </c>
      <c r="P51" s="80"/>
    </row>
    <row r="52" spans="1:16" s="7" customFormat="1" ht="24.75" customHeight="1" outlineLevel="1" x14ac:dyDescent="0.25">
      <c r="A52" s="144">
        <v>5</v>
      </c>
      <c r="B52" s="121" t="s">
        <v>2714</v>
      </c>
      <c r="C52" s="125" t="s">
        <v>32</v>
      </c>
      <c r="D52" s="122" t="s">
        <v>2719</v>
      </c>
      <c r="E52" s="145">
        <v>41655</v>
      </c>
      <c r="F52" s="145">
        <v>41989</v>
      </c>
      <c r="G52" s="172">
        <f t="shared" si="1"/>
        <v>11.133333333333333</v>
      </c>
      <c r="H52" s="121" t="s">
        <v>2724</v>
      </c>
      <c r="I52" s="122" t="s">
        <v>1155</v>
      </c>
      <c r="J52" s="122" t="s">
        <v>1063</v>
      </c>
      <c r="K52" s="124">
        <v>16000000</v>
      </c>
      <c r="L52" s="125" t="s">
        <v>2725</v>
      </c>
      <c r="M52" s="181">
        <v>1</v>
      </c>
      <c r="N52" s="125" t="s">
        <v>27</v>
      </c>
      <c r="O52" s="125" t="s">
        <v>2725</v>
      </c>
      <c r="P52" s="81"/>
    </row>
    <row r="53" spans="1:16" s="7" customFormat="1" ht="24.75" customHeight="1" outlineLevel="1" x14ac:dyDescent="0.25">
      <c r="A53" s="144">
        <v>6</v>
      </c>
      <c r="B53" s="121" t="s">
        <v>2714</v>
      </c>
      <c r="C53" s="125" t="s">
        <v>32</v>
      </c>
      <c r="D53" s="122" t="s">
        <v>2720</v>
      </c>
      <c r="E53" s="145">
        <v>42031</v>
      </c>
      <c r="F53" s="145">
        <v>42353</v>
      </c>
      <c r="G53" s="172">
        <f t="shared" si="1"/>
        <v>10.733333333333333</v>
      </c>
      <c r="H53" s="121" t="s">
        <v>2724</v>
      </c>
      <c r="I53" s="122" t="s">
        <v>1155</v>
      </c>
      <c r="J53" s="122" t="s">
        <v>1063</v>
      </c>
      <c r="K53" s="124">
        <v>17400000</v>
      </c>
      <c r="L53" s="125" t="s">
        <v>2725</v>
      </c>
      <c r="M53" s="181">
        <v>1</v>
      </c>
      <c r="N53" s="125" t="s">
        <v>27</v>
      </c>
      <c r="O53" s="125" t="s">
        <v>2725</v>
      </c>
      <c r="P53" s="81"/>
    </row>
    <row r="54" spans="1:16" s="7" customFormat="1" ht="24.75" customHeight="1" outlineLevel="1" x14ac:dyDescent="0.25">
      <c r="A54" s="144">
        <v>7</v>
      </c>
      <c r="B54" s="121" t="s">
        <v>2714</v>
      </c>
      <c r="C54" s="125" t="s">
        <v>32</v>
      </c>
      <c r="D54" s="122" t="s">
        <v>2721</v>
      </c>
      <c r="E54" s="145">
        <v>42389</v>
      </c>
      <c r="F54" s="145">
        <v>42724</v>
      </c>
      <c r="G54" s="172">
        <f t="shared" si="1"/>
        <v>11.166666666666666</v>
      </c>
      <c r="H54" s="121" t="s">
        <v>2724</v>
      </c>
      <c r="I54" s="122" t="s">
        <v>1155</v>
      </c>
      <c r="J54" s="122" t="s">
        <v>1063</v>
      </c>
      <c r="K54" s="120">
        <v>19200000</v>
      </c>
      <c r="L54" s="125" t="s">
        <v>2725</v>
      </c>
      <c r="M54" s="181">
        <v>1</v>
      </c>
      <c r="N54" s="125" t="s">
        <v>27</v>
      </c>
      <c r="O54" s="125" t="s">
        <v>2725</v>
      </c>
      <c r="P54" s="81"/>
    </row>
    <row r="55" spans="1:16" s="7" customFormat="1" ht="24.75" customHeight="1" outlineLevel="1" x14ac:dyDescent="0.25">
      <c r="A55" s="144">
        <v>8</v>
      </c>
      <c r="B55" s="121" t="s">
        <v>2714</v>
      </c>
      <c r="C55" s="125" t="s">
        <v>32</v>
      </c>
      <c r="D55" s="122" t="s">
        <v>2722</v>
      </c>
      <c r="E55" s="145">
        <v>42753</v>
      </c>
      <c r="F55" s="145">
        <v>43087</v>
      </c>
      <c r="G55" s="172">
        <f t="shared" si="1"/>
        <v>11.133333333333333</v>
      </c>
      <c r="H55" s="121" t="s">
        <v>2724</v>
      </c>
      <c r="I55" s="122" t="s">
        <v>1155</v>
      </c>
      <c r="J55" s="122" t="s">
        <v>1063</v>
      </c>
      <c r="K55" s="120">
        <v>21500000</v>
      </c>
      <c r="L55" s="125" t="s">
        <v>2725</v>
      </c>
      <c r="M55" s="181">
        <v>1</v>
      </c>
      <c r="N55" s="125" t="s">
        <v>27</v>
      </c>
      <c r="O55" s="125" t="s">
        <v>2725</v>
      </c>
      <c r="P55" s="81"/>
    </row>
    <row r="56" spans="1:16" s="7" customFormat="1" ht="24.75" customHeight="1" outlineLevel="1" x14ac:dyDescent="0.25">
      <c r="A56" s="144">
        <v>9</v>
      </c>
      <c r="B56" s="121" t="s">
        <v>2714</v>
      </c>
      <c r="C56" s="125" t="s">
        <v>32</v>
      </c>
      <c r="D56" s="122" t="s">
        <v>2723</v>
      </c>
      <c r="E56" s="145">
        <v>43112</v>
      </c>
      <c r="F56" s="145">
        <v>43464</v>
      </c>
      <c r="G56" s="172">
        <f t="shared" si="1"/>
        <v>11.733333333333333</v>
      </c>
      <c r="H56" s="121" t="s">
        <v>2724</v>
      </c>
      <c r="I56" s="122" t="s">
        <v>1155</v>
      </c>
      <c r="J56" s="122" t="s">
        <v>1063</v>
      </c>
      <c r="K56" s="120">
        <v>22865200</v>
      </c>
      <c r="L56" s="125" t="s">
        <v>2725</v>
      </c>
      <c r="M56" s="181">
        <v>1</v>
      </c>
      <c r="N56" s="125" t="s">
        <v>27</v>
      </c>
      <c r="O56" s="125" t="s">
        <v>2725</v>
      </c>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2726</v>
      </c>
      <c r="E114" s="194">
        <v>43881</v>
      </c>
      <c r="F114" s="194">
        <v>44196</v>
      </c>
      <c r="G114" s="172">
        <f>IF(AND(E114&lt;&gt;"",F114&lt;&gt;""),((F114-E114)/30),"")</f>
        <v>10.5</v>
      </c>
      <c r="H114" s="121" t="s">
        <v>2728</v>
      </c>
      <c r="I114" s="122" t="s">
        <v>1155</v>
      </c>
      <c r="J114" s="122" t="s">
        <v>1053</v>
      </c>
      <c r="K114" s="68">
        <v>3619688716</v>
      </c>
      <c r="L114" s="102">
        <f>+IF(AND(K114&gt;0,O114="Ejecución"),(K114/877802)*Tabla283[[#This Row],[% participación]],IF(AND(K114&gt;0,O114&lt;&gt;"Ejecución"),"-",""))</f>
        <v>3298.8657724634941</v>
      </c>
      <c r="M114" s="125" t="s">
        <v>26</v>
      </c>
      <c r="N114" s="181">
        <v>0.8</v>
      </c>
      <c r="O114" s="177" t="s">
        <v>1150</v>
      </c>
      <c r="P114" s="80"/>
    </row>
    <row r="115" spans="1:16" s="6" customFormat="1" ht="24.75" customHeight="1" x14ac:dyDescent="0.25">
      <c r="A115" s="143">
        <v>2</v>
      </c>
      <c r="B115" s="175" t="s">
        <v>2672</v>
      </c>
      <c r="C115" s="176" t="s">
        <v>31</v>
      </c>
      <c r="D115" s="122">
        <v>762620291</v>
      </c>
      <c r="E115" s="194">
        <v>43881</v>
      </c>
      <c r="F115" s="194">
        <v>44196</v>
      </c>
      <c r="G115" s="172">
        <f t="shared" ref="G115:G160" si="3">IF(AND(E115&lt;&gt;"",F115&lt;&gt;""),((F115-E115)/30),"")</f>
        <v>10.5</v>
      </c>
      <c r="H115" s="121" t="s">
        <v>2729</v>
      </c>
      <c r="I115" s="122" t="s">
        <v>1155</v>
      </c>
      <c r="J115" s="122" t="s">
        <v>1048</v>
      </c>
      <c r="K115" s="68">
        <v>312181584</v>
      </c>
      <c r="L115" s="102">
        <f>+IF(AND(K115&gt;0,O115="Ejecución"),(K115/877802)*Tabla283[[#This Row],[% participación]],IF(AND(K115&gt;0,O115&lt;&gt;"Ejecución"),"-",""))</f>
        <v>284.51207356556489</v>
      </c>
      <c r="M115" s="125" t="s">
        <v>26</v>
      </c>
      <c r="N115" s="181">
        <v>0.8</v>
      </c>
      <c r="O115" s="177" t="s">
        <v>1150</v>
      </c>
      <c r="P115" s="80"/>
    </row>
    <row r="116" spans="1:16" s="6" customFormat="1" ht="24.75" customHeight="1" x14ac:dyDescent="0.25">
      <c r="A116" s="143">
        <v>3</v>
      </c>
      <c r="B116" s="175" t="s">
        <v>2672</v>
      </c>
      <c r="C116" s="176" t="s">
        <v>31</v>
      </c>
      <c r="D116" s="122">
        <v>762620383</v>
      </c>
      <c r="E116" s="194">
        <v>43886</v>
      </c>
      <c r="F116" s="194">
        <v>44196</v>
      </c>
      <c r="G116" s="172">
        <f t="shared" si="3"/>
        <v>10.333333333333334</v>
      </c>
      <c r="H116" s="121" t="s">
        <v>2728</v>
      </c>
      <c r="I116" s="122" t="s">
        <v>1155</v>
      </c>
      <c r="J116" s="122" t="s">
        <v>1048</v>
      </c>
      <c r="K116" s="68">
        <v>929956820</v>
      </c>
      <c r="L116" s="102">
        <f>+IF(AND(K116&gt;0,O116="Ejecución"),(K116/877802)*Tabla283[[#This Row],[% participación]],IF(AND(K116&gt;0,O116&lt;&gt;"Ejecución"),"-",""))</f>
        <v>847.5321951875253</v>
      </c>
      <c r="M116" s="125" t="s">
        <v>26</v>
      </c>
      <c r="N116" s="181">
        <v>0.8</v>
      </c>
      <c r="O116" s="177" t="s">
        <v>1150</v>
      </c>
      <c r="P116" s="80"/>
    </row>
    <row r="117" spans="1:16" s="6" customFormat="1" ht="24.75" customHeight="1" outlineLevel="1" x14ac:dyDescent="0.25">
      <c r="A117" s="143">
        <v>4</v>
      </c>
      <c r="B117" s="175" t="s">
        <v>2672</v>
      </c>
      <c r="C117" s="176" t="s">
        <v>31</v>
      </c>
      <c r="D117" s="122">
        <v>762620383</v>
      </c>
      <c r="E117" s="194">
        <v>43886</v>
      </c>
      <c r="F117" s="194">
        <v>44196</v>
      </c>
      <c r="G117" s="172">
        <f t="shared" si="3"/>
        <v>10.333333333333334</v>
      </c>
      <c r="H117" s="121" t="s">
        <v>2728</v>
      </c>
      <c r="I117" s="122" t="s">
        <v>1155</v>
      </c>
      <c r="J117" s="122" t="s">
        <v>1051</v>
      </c>
      <c r="K117" s="68">
        <v>431878252</v>
      </c>
      <c r="L117" s="102">
        <f>+IF(AND(K117&gt;0,O117="Ejecución"),(K117/877802)*Tabla283[[#This Row],[% participación]],IF(AND(K117&gt;0,O117&lt;&gt;"Ejecución"),"-",""))</f>
        <v>393.59969742607109</v>
      </c>
      <c r="M117" s="125" t="s">
        <v>26</v>
      </c>
      <c r="N117" s="181">
        <v>0.8</v>
      </c>
      <c r="O117" s="177" t="s">
        <v>1150</v>
      </c>
      <c r="P117" s="80"/>
    </row>
    <row r="118" spans="1:16" s="7" customFormat="1" ht="24.75" customHeight="1" outlineLevel="1" x14ac:dyDescent="0.25">
      <c r="A118" s="144">
        <v>5</v>
      </c>
      <c r="B118" s="175" t="s">
        <v>2672</v>
      </c>
      <c r="C118" s="176" t="s">
        <v>31</v>
      </c>
      <c r="D118" s="122">
        <v>762620383</v>
      </c>
      <c r="E118" s="194">
        <v>43886</v>
      </c>
      <c r="F118" s="194">
        <v>44196</v>
      </c>
      <c r="G118" s="172">
        <f t="shared" si="3"/>
        <v>10.333333333333334</v>
      </c>
      <c r="H118" s="121" t="s">
        <v>2728</v>
      </c>
      <c r="I118" s="122" t="s">
        <v>1155</v>
      </c>
      <c r="J118" s="122" t="s">
        <v>1056</v>
      </c>
      <c r="K118" s="68">
        <v>5174446262.75</v>
      </c>
      <c r="L118" s="102">
        <f>+IF(AND(K118&gt;0,O118="Ejecución"),(K118/877802)*Tabla283[[#This Row],[% participación]],IF(AND(K118&gt;0,O118&lt;&gt;"Ejecución"),"-",""))</f>
        <v>4715.8208914994493</v>
      </c>
      <c r="M118" s="125" t="s">
        <v>26</v>
      </c>
      <c r="N118" s="181">
        <v>0.8</v>
      </c>
      <c r="O118" s="177" t="s">
        <v>1150</v>
      </c>
      <c r="P118" s="81"/>
    </row>
    <row r="119" spans="1:16" s="7" customFormat="1" ht="24.75" customHeight="1" outlineLevel="1" x14ac:dyDescent="0.25">
      <c r="A119" s="144">
        <v>6</v>
      </c>
      <c r="B119" s="175" t="s">
        <v>2672</v>
      </c>
      <c r="C119" s="176" t="s">
        <v>31</v>
      </c>
      <c r="D119" s="122" t="s">
        <v>2727</v>
      </c>
      <c r="E119" s="145">
        <v>44166</v>
      </c>
      <c r="F119" s="145">
        <v>44773</v>
      </c>
      <c r="G119" s="172">
        <f t="shared" si="3"/>
        <v>20.233333333333334</v>
      </c>
      <c r="H119" s="121" t="s">
        <v>2730</v>
      </c>
      <c r="I119" s="122" t="s">
        <v>1155</v>
      </c>
      <c r="J119" s="122" t="s">
        <v>1053</v>
      </c>
      <c r="K119" s="68">
        <v>5323772375</v>
      </c>
      <c r="L119" s="102">
        <f>+IF(AND(K119&gt;0,O119="Ejecución"),(K119/877802)*Tabla283[[#This Row],[% participación]],IF(AND(K119&gt;0,O119&lt;&gt;"Ejecución"),"-",""))</f>
        <v>4851.911820661152</v>
      </c>
      <c r="M119" s="125" t="s">
        <v>26</v>
      </c>
      <c r="N119" s="181">
        <v>0.8</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ref="N120:N160" si="4">+IF(M120="No",1,IF(M120="Si","Ingrese %",""))</f>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5"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4"/>
      <c r="T177" s="19"/>
      <c r="U177" s="19"/>
      <c r="V177" s="19"/>
      <c r="W177" s="19"/>
      <c r="X177" s="19"/>
      <c r="Y177" s="19"/>
      <c r="Z177" s="19"/>
      <c r="AA177" s="19"/>
      <c r="AB177" s="19"/>
    </row>
    <row r="178" spans="1:28" ht="23.25" x14ac:dyDescent="0.25">
      <c r="A178" s="9"/>
      <c r="B178" s="203"/>
      <c r="C178" s="204"/>
      <c r="D178" s="205"/>
      <c r="E178" s="164" t="s">
        <v>2621</v>
      </c>
      <c r="F178" s="164" t="s">
        <v>2622</v>
      </c>
      <c r="G178" s="164" t="s">
        <v>2623</v>
      </c>
      <c r="H178" s="5"/>
      <c r="I178" s="203"/>
      <c r="J178" s="204"/>
      <c r="K178" s="204"/>
      <c r="L178" s="205"/>
      <c r="M178" s="261" t="s">
        <v>2622</v>
      </c>
      <c r="O178" s="8"/>
      <c r="Q178" s="19"/>
      <c r="R178" s="19"/>
      <c r="S178" s="164" t="s">
        <v>2623</v>
      </c>
      <c r="T178" s="19"/>
      <c r="U178" s="19"/>
      <c r="V178" s="19"/>
      <c r="W178" s="19"/>
      <c r="X178" s="19"/>
      <c r="Y178" s="19"/>
      <c r="Z178" s="19"/>
      <c r="AA178" s="19"/>
      <c r="AB178" s="19"/>
    </row>
    <row r="179" spans="1:28" ht="23.25" x14ac:dyDescent="0.25">
      <c r="A179" s="9"/>
      <c r="B179" s="252" t="s">
        <v>2671</v>
      </c>
      <c r="C179" s="252"/>
      <c r="D179" s="252"/>
      <c r="E179" s="24">
        <v>0.02</v>
      </c>
      <c r="F179" s="178">
        <v>0.01</v>
      </c>
      <c r="G179" s="179">
        <f>IF(F179&gt;0,SUM(E179+F179),"")</f>
        <v>0.03</v>
      </c>
      <c r="H179" s="5"/>
      <c r="I179" s="249" t="s">
        <v>2675</v>
      </c>
      <c r="J179" s="250"/>
      <c r="K179" s="250"/>
      <c r="L179" s="251"/>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2" t="s">
        <v>1165</v>
      </c>
      <c r="C180" s="252"/>
      <c r="D180" s="252"/>
      <c r="E180" s="24">
        <v>0.02</v>
      </c>
      <c r="F180" s="69"/>
      <c r="G180" s="163" t="str">
        <f>IF(F180&gt;0,SUM(E180+F180),"")</f>
        <v/>
      </c>
      <c r="H180" s="5"/>
      <c r="I180" s="249" t="s">
        <v>1169</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3" t="str">
        <f>IF(F181&gt;0,SUM(E181+F181),"")</f>
        <v/>
      </c>
      <c r="H181" s="5"/>
      <c r="I181" s="249" t="s">
        <v>1170</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3" t="str">
        <f>IF(F182&gt;0,SUM(E182+F182),"")</f>
        <v/>
      </c>
      <c r="H182" s="5"/>
      <c r="I182" s="249" t="s">
        <v>1171</v>
      </c>
      <c r="J182" s="250"/>
      <c r="K182" s="25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81849192.179999992</v>
      </c>
      <c r="F185" s="94"/>
      <c r="G185" s="95"/>
      <c r="H185" s="90"/>
      <c r="I185" s="92" t="s">
        <v>2632</v>
      </c>
      <c r="J185" s="184">
        <f>M179</f>
        <v>0.02</v>
      </c>
      <c r="K185" s="253" t="s">
        <v>2633</v>
      </c>
      <c r="L185" s="253"/>
      <c r="M185" s="96">
        <f>+J185*K20</f>
        <v>54566128.120000005</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6" t="s">
        <v>2641</v>
      </c>
      <c r="C192" s="226"/>
      <c r="E192" s="5" t="s">
        <v>20</v>
      </c>
      <c r="H192" s="167" t="s">
        <v>24</v>
      </c>
      <c r="J192" s="5" t="s">
        <v>2642</v>
      </c>
      <c r="K192" s="5"/>
      <c r="M192" s="5"/>
      <c r="N192" s="5"/>
      <c r="O192" s="50"/>
      <c r="Q192" s="154"/>
      <c r="R192" s="155"/>
      <c r="S192" s="155"/>
      <c r="T192" s="154"/>
    </row>
    <row r="193" spans="1:18" x14ac:dyDescent="0.25">
      <c r="A193" s="9"/>
      <c r="C193" s="197">
        <v>43759</v>
      </c>
      <c r="D193" s="5"/>
      <c r="E193" s="127">
        <v>5698</v>
      </c>
      <c r="F193" s="5"/>
      <c r="G193" s="5"/>
      <c r="H193" s="198" t="s">
        <v>2731</v>
      </c>
      <c r="J193" s="5"/>
      <c r="K193" s="197">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8" t="s">
        <v>2731</v>
      </c>
      <c r="D211" s="21"/>
      <c r="G211" s="27" t="s">
        <v>2625</v>
      </c>
      <c r="H211" s="196" t="s">
        <v>2732</v>
      </c>
      <c r="J211" s="27" t="s">
        <v>2627</v>
      </c>
      <c r="K211" s="196" t="s">
        <v>2732</v>
      </c>
      <c r="L211" s="21"/>
      <c r="M211" s="21"/>
      <c r="N211" s="21"/>
      <c r="O211" s="8"/>
    </row>
    <row r="212" spans="1:15" x14ac:dyDescent="0.25">
      <c r="A212" s="9"/>
      <c r="B212" s="27" t="s">
        <v>2624</v>
      </c>
      <c r="C212" s="198" t="s">
        <v>2731</v>
      </c>
      <c r="D212" s="21"/>
      <c r="G212" s="27" t="s">
        <v>2626</v>
      </c>
      <c r="H212" s="196" t="s">
        <v>2733</v>
      </c>
      <c r="J212" s="27" t="s">
        <v>2628</v>
      </c>
      <c r="K212" s="19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71" t="str">
        <f>HYPERLINK("#Integrante_3!A109","CAPACIDAD RESIDUAL")</f>
        <v>CAPACIDAD RESIDUAL</v>
      </c>
      <c r="F8" s="272"/>
      <c r="G8" s="273"/>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71" t="str">
        <f>HYPERLINK("#Integrante_3!A162","TALENTO HUMANO")</f>
        <v>TALENTO HUMANO</v>
      </c>
      <c r="F9" s="272"/>
      <c r="G9" s="273"/>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71" t="str">
        <f>HYPERLINK("#Integrante_3!F162","INFRAESTRUCTURA")</f>
        <v>INFRAESTRUCTURA</v>
      </c>
      <c r="F10" s="272"/>
      <c r="G10" s="273"/>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8" t="s">
        <v>8</v>
      </c>
      <c r="M15" s="268"/>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4"/>
      <c r="I20" s="149"/>
      <c r="J20" s="150"/>
      <c r="K20" s="151"/>
      <c r="L20" s="152"/>
      <c r="M20" s="152"/>
      <c r="N20" s="135">
        <f>+(M20-L20)/30</f>
        <v>0</v>
      </c>
      <c r="O20" s="138"/>
      <c r="U20" s="134"/>
      <c r="V20" s="107">
        <f ca="1">NOW()</f>
        <v>44194.920321180558</v>
      </c>
      <c r="W20" s="107">
        <f ca="1">NOW()</f>
        <v>44194.920321180558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e">
        <f>VLOOKUP(B20,EAS!A2:B1439,2,0)</f>
        <v>#N/A</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85"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64"/>
      <c r="S175" s="19"/>
      <c r="T175" s="19"/>
      <c r="U175" s="19"/>
      <c r="V175" s="19"/>
      <c r="W175" s="19"/>
      <c r="X175" s="19"/>
      <c r="Y175" s="19"/>
      <c r="Z175" s="19"/>
      <c r="AA175" s="19"/>
      <c r="AB175" s="19"/>
    </row>
    <row r="176" spans="1:28" ht="23.25" x14ac:dyDescent="0.25">
      <c r="A176" s="9"/>
      <c r="B176" s="203"/>
      <c r="C176" s="204"/>
      <c r="D176" s="205"/>
      <c r="E176" s="164" t="s">
        <v>2621</v>
      </c>
      <c r="F176" s="164" t="s">
        <v>2622</v>
      </c>
      <c r="G176" s="164" t="s">
        <v>2623</v>
      </c>
      <c r="H176" s="5"/>
      <c r="I176" s="203"/>
      <c r="J176" s="204"/>
      <c r="K176" s="204"/>
      <c r="L176" s="205"/>
      <c r="M176" s="261"/>
      <c r="O176" s="8"/>
      <c r="Q176" s="19"/>
      <c r="R176" s="164" t="s">
        <v>2623</v>
      </c>
      <c r="S176" s="19"/>
      <c r="T176" s="19"/>
      <c r="U176" s="19"/>
      <c r="V176" s="19"/>
      <c r="W176" s="19"/>
      <c r="X176" s="19"/>
      <c r="Y176" s="19"/>
      <c r="Z176" s="19"/>
      <c r="AA176" s="19"/>
      <c r="AB176" s="19"/>
    </row>
    <row r="177" spans="1:28" ht="23.25" x14ac:dyDescent="0.25">
      <c r="A177" s="9"/>
      <c r="B177" s="252" t="s">
        <v>2671</v>
      </c>
      <c r="C177" s="252"/>
      <c r="D177" s="252"/>
      <c r="E177" s="24">
        <v>0.02</v>
      </c>
      <c r="F177" s="178"/>
      <c r="G177" s="179" t="str">
        <f>IF(F177&gt;0,SUM(E177+F177),"")</f>
        <v/>
      </c>
      <c r="H177" s="5"/>
      <c r="I177" s="249" t="s">
        <v>2675</v>
      </c>
      <c r="J177" s="250"/>
      <c r="K177" s="250"/>
      <c r="L177" s="251"/>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63" t="str">
        <f>IF(F178&gt;0,SUM(E178+F178),"")</f>
        <v/>
      </c>
      <c r="H178" s="5"/>
      <c r="I178" s="249" t="s">
        <v>1169</v>
      </c>
      <c r="J178" s="250"/>
      <c r="K178" s="251"/>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63" t="str">
        <f>IF(F179&gt;0,SUM(E179+F179),"")</f>
        <v/>
      </c>
      <c r="H179" s="5"/>
      <c r="I179" s="249" t="s">
        <v>1170</v>
      </c>
      <c r="J179" s="250"/>
      <c r="K179" s="251"/>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63" t="str">
        <f>IF(F180&gt;0,SUM(E180+F180),"")</f>
        <v/>
      </c>
      <c r="H180" s="5"/>
      <c r="I180" s="249" t="s">
        <v>1171</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3" t="s">
        <v>2633</v>
      </c>
      <c r="L183" s="253"/>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6" t="s">
        <v>2641</v>
      </c>
      <c r="C190" s="22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71" t="str">
        <f>HYPERLINK("#Integrante_4!A109","CAPACIDAD RESIDUAL")</f>
        <v>CAPACIDAD RESIDUAL</v>
      </c>
      <c r="F8" s="272"/>
      <c r="G8" s="273"/>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71" t="str">
        <f>HYPERLINK("#Integrante_4!A162","TALENTO HUMANO")</f>
        <v>TALENTO HUMANO</v>
      </c>
      <c r="F9" s="272"/>
      <c r="G9" s="273"/>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71" t="str">
        <f>HYPERLINK("#Integrante_4!F162","INFRAESTRUCTURA")</f>
        <v>INFRAESTRUCTURA</v>
      </c>
      <c r="F10" s="272"/>
      <c r="G10" s="273"/>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8" t="s">
        <v>8</v>
      </c>
      <c r="M15" s="268"/>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4"/>
      <c r="I20" s="149"/>
      <c r="J20" s="150"/>
      <c r="K20" s="151"/>
      <c r="L20" s="152"/>
      <c r="M20" s="152"/>
      <c r="N20" s="135">
        <f>+(M20-L20)/30</f>
        <v>0</v>
      </c>
      <c r="O20" s="138"/>
      <c r="U20" s="134"/>
      <c r="V20" s="107">
        <f ca="1">NOW()</f>
        <v>44194.920321180558</v>
      </c>
      <c r="W20" s="107">
        <f ca="1">NOW()</f>
        <v>44194.920321180558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e">
        <f>VLOOKUP(B20,EAS!A2:B1439,2,0)</f>
        <v>#N/A</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5"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64"/>
      <c r="S177" s="19"/>
      <c r="T177" s="19"/>
      <c r="U177" s="19"/>
      <c r="V177" s="19"/>
      <c r="W177" s="19"/>
      <c r="X177" s="19"/>
      <c r="Y177" s="19"/>
      <c r="Z177" s="19"/>
      <c r="AA177" s="19"/>
      <c r="AB177" s="19"/>
    </row>
    <row r="178" spans="1:28" ht="23.25" x14ac:dyDescent="0.25">
      <c r="A178" s="9"/>
      <c r="B178" s="203"/>
      <c r="C178" s="204"/>
      <c r="D178" s="205"/>
      <c r="E178" s="164" t="s">
        <v>2621</v>
      </c>
      <c r="F178" s="164" t="s">
        <v>2622</v>
      </c>
      <c r="G178" s="164" t="s">
        <v>2623</v>
      </c>
      <c r="H178" s="5"/>
      <c r="I178" s="203"/>
      <c r="J178" s="204"/>
      <c r="K178" s="204"/>
      <c r="L178" s="205"/>
      <c r="M178" s="261"/>
      <c r="O178" s="8"/>
      <c r="Q178" s="19"/>
      <c r="R178" s="164" t="s">
        <v>2623</v>
      </c>
      <c r="S178" s="19"/>
      <c r="T178" s="19"/>
      <c r="U178" s="19"/>
      <c r="V178" s="19"/>
      <c r="W178" s="19"/>
      <c r="X178" s="19"/>
      <c r="Y178" s="19"/>
      <c r="Z178" s="19"/>
      <c r="AA178" s="19"/>
      <c r="AB178" s="19"/>
    </row>
    <row r="179" spans="1:28" ht="23.25" x14ac:dyDescent="0.25">
      <c r="A179" s="9"/>
      <c r="B179" s="252" t="s">
        <v>2671</v>
      </c>
      <c r="C179" s="252"/>
      <c r="D179" s="252"/>
      <c r="E179" s="24">
        <v>0.02</v>
      </c>
      <c r="F179" s="178"/>
      <c r="G179" s="179" t="str">
        <f>IF(F179&gt;0,SUM(E179+F179),"")</f>
        <v/>
      </c>
      <c r="H179" s="5"/>
      <c r="I179" s="249" t="s">
        <v>2675</v>
      </c>
      <c r="J179" s="250"/>
      <c r="K179" s="250"/>
      <c r="L179" s="251"/>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63" t="str">
        <f>IF(F180&gt;0,SUM(E180+F180),"")</f>
        <v/>
      </c>
      <c r="H180" s="5"/>
      <c r="I180" s="249" t="s">
        <v>1169</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3" t="str">
        <f>IF(F181&gt;0,SUM(E181+F181),"")</f>
        <v/>
      </c>
      <c r="H181" s="5"/>
      <c r="I181" s="249" t="s">
        <v>1170</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3" t="str">
        <f>IF(F182&gt;0,SUM(E182+F182),"")</f>
        <v/>
      </c>
      <c r="H182" s="5"/>
      <c r="I182" s="249" t="s">
        <v>1171</v>
      </c>
      <c r="J182" s="250"/>
      <c r="K182" s="25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3" t="s">
        <v>2633</v>
      </c>
      <c r="L185" s="253"/>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6" t="s">
        <v>2641</v>
      </c>
      <c r="C192" s="22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71" t="str">
        <f>HYPERLINK("#Integrante_5!A109","CAPACIDAD RESIDUAL")</f>
        <v>CAPACIDAD RESIDUAL</v>
      </c>
      <c r="F8" s="272"/>
      <c r="G8" s="273"/>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71" t="str">
        <f>HYPERLINK("#Integrante_5!A162","TALENTO HUMANO")</f>
        <v>TALENTO HUMANO</v>
      </c>
      <c r="F9" s="272"/>
      <c r="G9" s="273"/>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71" t="str">
        <f>HYPERLINK("#Integrante_5!F162","INFRAESTRUCTURA")</f>
        <v>INFRAESTRUCTURA</v>
      </c>
      <c r="F10" s="272"/>
      <c r="G10" s="273"/>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8" t="s">
        <v>8</v>
      </c>
      <c r="M15" s="268"/>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4"/>
      <c r="I20" s="149"/>
      <c r="J20" s="150"/>
      <c r="K20" s="151"/>
      <c r="L20" s="152"/>
      <c r="M20" s="152"/>
      <c r="N20" s="135">
        <f>+(M20-L20)/30</f>
        <v>0</v>
      </c>
      <c r="O20" s="138"/>
      <c r="U20" s="134"/>
      <c r="V20" s="107">
        <f ca="1">NOW()</f>
        <v>44194.920321180558</v>
      </c>
      <c r="W20" s="107">
        <f ca="1">NOW()</f>
        <v>44194.920321180558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e">
        <f>VLOOKUP(B20,EAS!A2:B1439,2,0)</f>
        <v>#N/A</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85"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64"/>
      <c r="T175" s="19"/>
      <c r="U175" s="19"/>
      <c r="V175" s="19"/>
      <c r="W175" s="19"/>
      <c r="X175" s="19"/>
      <c r="Y175" s="19"/>
      <c r="Z175" s="19"/>
      <c r="AA175" s="19"/>
      <c r="AB175" s="19"/>
    </row>
    <row r="176" spans="1:28" ht="23.25" x14ac:dyDescent="0.25">
      <c r="A176" s="9"/>
      <c r="B176" s="203"/>
      <c r="C176" s="204"/>
      <c r="D176" s="205"/>
      <c r="E176" s="164" t="s">
        <v>2621</v>
      </c>
      <c r="F176" s="164" t="s">
        <v>2622</v>
      </c>
      <c r="G176" s="164" t="s">
        <v>2623</v>
      </c>
      <c r="H176" s="5"/>
      <c r="I176" s="203"/>
      <c r="J176" s="204"/>
      <c r="K176" s="204"/>
      <c r="L176" s="205"/>
      <c r="M176" s="261"/>
      <c r="O176" s="8"/>
      <c r="Q176" s="19"/>
      <c r="R176" s="19"/>
      <c r="S176" s="164" t="s">
        <v>2623</v>
      </c>
      <c r="T176" s="19"/>
      <c r="U176" s="19"/>
      <c r="V176" s="19"/>
      <c r="W176" s="19"/>
      <c r="X176" s="19"/>
      <c r="Y176" s="19"/>
      <c r="Z176" s="19"/>
      <c r="AA176" s="19"/>
      <c r="AB176" s="19"/>
    </row>
    <row r="177" spans="1:28" ht="23.25" x14ac:dyDescent="0.25">
      <c r="A177" s="9"/>
      <c r="B177" s="252" t="s">
        <v>2671</v>
      </c>
      <c r="C177" s="252"/>
      <c r="D177" s="252"/>
      <c r="E177" s="24">
        <v>0.02</v>
      </c>
      <c r="F177" s="178"/>
      <c r="G177" s="179" t="str">
        <f>IF(F177&gt;0,SUM(E177+F177),"")</f>
        <v/>
      </c>
      <c r="H177" s="5"/>
      <c r="I177" s="249" t="s">
        <v>2673</v>
      </c>
      <c r="J177" s="250"/>
      <c r="K177" s="250"/>
      <c r="L177" s="251"/>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63" t="str">
        <f>IF(F178&gt;0,SUM(E178+F178),"")</f>
        <v/>
      </c>
      <c r="H178" s="5"/>
      <c r="I178" s="249" t="s">
        <v>1169</v>
      </c>
      <c r="J178" s="250"/>
      <c r="K178" s="251"/>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63" t="str">
        <f>IF(F179&gt;0,SUM(E179+F179),"")</f>
        <v/>
      </c>
      <c r="H179" s="5"/>
      <c r="I179" s="249" t="s">
        <v>1170</v>
      </c>
      <c r="J179" s="250"/>
      <c r="K179" s="251"/>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63" t="str">
        <f>IF(F180&gt;0,SUM(E180+F180),"")</f>
        <v/>
      </c>
      <c r="H180" s="5"/>
      <c r="I180" s="249" t="s">
        <v>1171</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3" t="s">
        <v>2633</v>
      </c>
      <c r="L183" s="253"/>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6" t="s">
        <v>2641</v>
      </c>
      <c r="C190" s="22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1">
        <f ca="1">NOW()</f>
        <v>44194.920321180558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71" t="str">
        <f>HYPERLINK("#Integrante_6!A109","CAPACIDAD RESIDUAL")</f>
        <v>CAPACIDAD RESIDUAL</v>
      </c>
      <c r="F8" s="272"/>
      <c r="G8" s="273"/>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71" t="str">
        <f>HYPERLINK("#Integrante_6!A162","TALENTO HUMANO")</f>
        <v>TALENTO HUMANO</v>
      </c>
      <c r="F9" s="272"/>
      <c r="G9" s="273"/>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71" t="str">
        <f>HYPERLINK("#Integrante_6!F162","INFRAESTRUCTURA")</f>
        <v>INFRAESTRUCTURA</v>
      </c>
      <c r="F10" s="272"/>
      <c r="G10" s="273"/>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8" t="s">
        <v>8</v>
      </c>
      <c r="M15" s="268"/>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4"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4"/>
      <c r="I20" s="149"/>
      <c r="J20" s="150"/>
      <c r="K20" s="151"/>
      <c r="L20" s="152"/>
      <c r="M20" s="152"/>
      <c r="N20" s="135">
        <f>+(M20-L20)/30</f>
        <v>0</v>
      </c>
      <c r="O20" s="138"/>
      <c r="U20" s="134"/>
      <c r="V20" s="107">
        <f ca="1">NOW()</f>
        <v>44194.920321180558</v>
      </c>
      <c r="W20" s="107">
        <f ca="1">NOW()</f>
        <v>44194.920321180558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9"/>
      <c r="I37" s="130"/>
      <c r="J37" s="130"/>
      <c r="K37" s="130"/>
      <c r="L37" s="130"/>
      <c r="M37" s="130"/>
      <c r="N37" s="130"/>
      <c r="O37" s="131"/>
    </row>
    <row r="38" spans="1:16" ht="21" customHeight="1" x14ac:dyDescent="0.25">
      <c r="A38" s="9"/>
      <c r="B38" s="269" t="e">
        <f>VLOOKUP(B20,EAS!A2:B1439,2,0)</f>
        <v>#N/A</v>
      </c>
      <c r="C38" s="269"/>
      <c r="D38" s="269"/>
      <c r="E38" s="269"/>
      <c r="F38" s="269"/>
      <c r="G38" s="5"/>
      <c r="H38" s="132"/>
      <c r="I38" s="278" t="s">
        <v>7</v>
      </c>
      <c r="J38" s="278"/>
      <c r="K38" s="278"/>
      <c r="L38" s="278"/>
      <c r="M38" s="278"/>
      <c r="N38" s="278"/>
      <c r="O38" s="133"/>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2672</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5"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4"/>
      <c r="T177" s="19"/>
      <c r="U177" s="19"/>
      <c r="V177" s="19"/>
      <c r="W177" s="19"/>
      <c r="X177" s="19"/>
      <c r="Y177" s="19"/>
      <c r="Z177" s="19"/>
      <c r="AA177" s="19"/>
      <c r="AB177" s="19"/>
    </row>
    <row r="178" spans="1:28" ht="23.25" x14ac:dyDescent="0.25">
      <c r="A178" s="9"/>
      <c r="B178" s="203"/>
      <c r="C178" s="204"/>
      <c r="D178" s="205"/>
      <c r="E178" s="164" t="s">
        <v>2621</v>
      </c>
      <c r="F178" s="164" t="s">
        <v>2622</v>
      </c>
      <c r="G178" s="164" t="s">
        <v>2623</v>
      </c>
      <c r="H178" s="5"/>
      <c r="I178" s="203"/>
      <c r="J178" s="204"/>
      <c r="K178" s="204"/>
      <c r="L178" s="205"/>
      <c r="M178" s="261"/>
      <c r="O178" s="8"/>
      <c r="Q178" s="19"/>
      <c r="R178" s="19"/>
      <c r="S178" s="164" t="s">
        <v>2623</v>
      </c>
      <c r="T178" s="19"/>
      <c r="U178" s="19"/>
      <c r="V178" s="19"/>
      <c r="W178" s="19"/>
      <c r="X178" s="19"/>
      <c r="Y178" s="19"/>
      <c r="Z178" s="19"/>
      <c r="AA178" s="19"/>
      <c r="AB178" s="19"/>
    </row>
    <row r="179" spans="1:28" ht="23.25" x14ac:dyDescent="0.25">
      <c r="A179" s="9"/>
      <c r="B179" s="252" t="s">
        <v>2671</v>
      </c>
      <c r="C179" s="252"/>
      <c r="D179" s="252"/>
      <c r="E179" s="24">
        <v>0.02</v>
      </c>
      <c r="F179" s="178"/>
      <c r="G179" s="179" t="str">
        <f>IF(F179&gt;0,SUM(E179+F179),"")</f>
        <v/>
      </c>
      <c r="H179" s="5"/>
      <c r="I179" s="249" t="s">
        <v>2673</v>
      </c>
      <c r="J179" s="250"/>
      <c r="K179" s="250"/>
      <c r="L179" s="251"/>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63" t="str">
        <f>IF(F180&gt;0,SUM(E180+F180),"")</f>
        <v/>
      </c>
      <c r="H180" s="5"/>
      <c r="I180" s="249" t="s">
        <v>1169</v>
      </c>
      <c r="J180" s="250"/>
      <c r="K180" s="251"/>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3" t="str">
        <f>IF(F181&gt;0,SUM(E181+F181),"")</f>
        <v/>
      </c>
      <c r="H181" s="5"/>
      <c r="I181" s="249" t="s">
        <v>1170</v>
      </c>
      <c r="J181" s="250"/>
      <c r="K181" s="251"/>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3" t="str">
        <f>IF(F182&gt;0,SUM(E182+F182),"")</f>
        <v/>
      </c>
      <c r="H182" s="5"/>
      <c r="I182" s="249" t="s">
        <v>1171</v>
      </c>
      <c r="J182" s="250"/>
      <c r="K182" s="251"/>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3" t="s">
        <v>2633</v>
      </c>
      <c r="L185" s="253"/>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6" t="s">
        <v>2641</v>
      </c>
      <c r="C192" s="22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2020-12-11T17:12:38Z</cp:lastPrinted>
  <dcterms:created xsi:type="dcterms:W3CDTF">2020-10-14T21:57:42Z</dcterms:created>
  <dcterms:modified xsi:type="dcterms:W3CDTF">2020-12-30T03:05:17Z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