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scritorio\MANIFESTACIONES DE INTERES\ATLANTICO\MALAMB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0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12" l="1"/>
  <c r="K54" i="12"/>
  <c r="K53" i="12"/>
  <c r="K52" i="12"/>
  <c r="K50"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<sst xmlns="http://schemas.openxmlformats.org/spreadsheetml/2006/main" count="3170" uniqueCount="2722">
  <si>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</si>
  <si>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</si>
  <si>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</si>
  <si>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</si>
  <si>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</si>
  <si>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</si>
  <si>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</si>
  <si>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</si>
  <si>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</si>
  <si>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</si>
  <si>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</si>
  <si>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</si>
  <si>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</si>
  <si>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</si>
  <si>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</si>
  <si>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</si>
  <si>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</si>
  <si>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</si>
  <si>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</si>
  <si>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</si>
  <si>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</si>
  <si>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</si>
  <si>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</si>
  <si>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</si>
  <si>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</si>
  <si>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</si>
  <si>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</si>
  <si>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</si>
  <si>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</si>
  <si>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</si>
  <si>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</si>
  <si>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</si>
  <si>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</si>
  <si>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</si>
  <si>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</si>
  <si>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</si>
  <si>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</si>
  <si>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</si>
  <si>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</si>
  <si>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</si>
  <si>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</si>
  <si>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</si>
  <si>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</si>
  <si>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</si>
  <si>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</si>
  <si>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</si>
  <si>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</si>
  <si>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</si>
  <si>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</si>
  <si>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</si>
  <si>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</si>
  <si>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</si>
  <si>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</si>
  <si>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</si>
  <si>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</si>
  <si>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</si>
  <si>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</si>
  <si>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</si>
  <si>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</si>
  <si>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</si>
  <si>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</si>
  <si>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</si>
  <si>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</si>
  <si>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</si>
  <si>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</si>
  <si>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</si>
  <si>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</si>
  <si>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</si>
  <si>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</si>
  <si>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</si>
  <si>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</si>
  <si>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</si>
  <si>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</si>
  <si>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</si>
  <si>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</si>
  <si>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</si>
  <si>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</si>
  <si>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</si>
  <si>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</si>
  <si>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</si>
  <si>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</si>
  <si>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</si>
  <si>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</si>
  <si>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</si>
  <si>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</si>
  <si>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</si>
  <si>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</si>
  <si>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</si>
  <si>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</si>
  <si>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</si>
  <si>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</si>
  <si>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</si>
  <si>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</si>
  <si>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</si>
  <si>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</si>
  <si>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</si>
  <si>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</si>
  <si>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</si>
  <si>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</si>
  <si>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</si>
  <si>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</si>
  <si>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</si>
  <si>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</si>
  <si>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</si>
  <si>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</si>
  <si>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</si>
  <si>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</si>
  <si>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</si>
  <si>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</si>
  <si>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</si>
  <si>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</si>
  <si>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</si>
  <si>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</si>
  <si>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</si>
  <si>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</si>
  <si>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</si>
  <si>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</si>
  <si>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</si>
  <si>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</si>
  <si>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</si>
  <si>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</si>
  <si>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</si>
  <si>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</si>
  <si>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</si>
  <si>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</si>
  <si>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</si>
  <si>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</si>
  <si>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</si>
  <si>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</si>
  <si>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</si>
  <si>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</si>
  <si>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</si>
  <si>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</si>
  <si>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</si>
  <si>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</si>
  <si>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</si>
  <si>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</si>
  <si>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</si>
  <si>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</si>
  <si>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</si>
  <si>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</si>
  <si>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</si>
  <si>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</si>
  <si>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</si>
  <si>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</si>
  <si>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</si>
  <si>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</si>
  <si>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</si>
  <si>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</si>
  <si>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</si>
  <si>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</si>
  <si>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</si>
  <si>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</si>
  <si>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</si>
  <si>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</si>
  <si>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</si>
  <si>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</si>
  <si>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</si>
  <si>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</si>
  <si>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</si>
  <si>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</si>
  <si>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</si>
  <si>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</si>
  <si>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</si>
  <si>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</si>
  <si>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</si>
  <si>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</si>
  <si>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</si>
  <si>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</si>
  <si>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</si>
  <si>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</si>
  <si>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</si>
  <si>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</si>
  <si>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</si>
  <si>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</si>
  <si>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</si>
  <si>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</si>
  <si>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</si>
  <si>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</si>
  <si>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</si>
  <si>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</si>
  <si>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</si>
  <si>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</si>
  <si>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</si>
  <si>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</si>
  <si>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</si>
  <si>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</si>
  <si>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</si>
  <si>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</si>
  <si>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</si>
  <si>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</si>
  <si>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</si>
  <si>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</si>
  <si>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</si>
  <si>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</si>
  <si>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</si>
  <si>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</si>
  <si>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</si>
  <si>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</si>
  <si>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</si>
  <si>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</si>
  <si>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</si>
  <si>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</si>
  <si>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</si>
  <si>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</si>
  <si>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</si>
  <si>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</si>
  <si>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</si>
  <si>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</si>
  <si>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</si>
  <si>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</si>
  <si>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</si>
  <si>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</si>
  <si>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</si>
  <si>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</si>
  <si>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</si>
  <si>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</si>
  <si>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</si>
  <si>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</si>
  <si>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</si>
  <si>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</si>
  <si>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</si>
  <si>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</si>
  <si>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</si>
  <si>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</si>
  <si>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</si>
  <si>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</si>
  <si>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</si>
  <si>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</si>
  <si>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</si>
  <si>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</si>
  <si>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</si>
  <si>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</si>
  <si>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</si>
  <si>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</si>
  <si>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</si>
  <si>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</si>
  <si>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</si>
  <si>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</si>
  <si>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</si>
  <si>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</si>
  <si>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</si>
  <si>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</si>
  <si>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</si>
  <si>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</si>
  <si>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</si>
  <si>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</si>
  <si>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</si>
  <si>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</si>
  <si>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</si>
  <si>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</si>
  <si>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</si>
  <si>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</si>
  <si>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</si>
  <si>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</si>
  <si>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</si>
  <si>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</si>
  <si>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</si>
  <si>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</si>
  <si>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</si>
  <si>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</si>
  <si>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</si>
  <si>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</si>
  <si>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</si>
  <si>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</si>
  <si>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</si>
  <si>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</si>
  <si>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</si>
  <si>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</si>
  <si>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</si>
  <si>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</si>
  <si>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</si>
  <si>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</si>
  <si>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</si>
  <si>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</si>
  <si>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</si>
  <si>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</si>
  <si>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</si>
  <si>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</si>
  <si>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</si>
  <si>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</si>
  <si>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</si>
  <si>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</si>
  <si>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</si>
  <si>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</si>
  <si>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</si>
  <si>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</si>
  <si>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</si>
  <si>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</si>
  <si>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</si>
  <si>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</si>
  <si>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</si>
  <si>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</si>
  <si>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</si>
  <si>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</si>
  <si>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</si>
  <si>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</si>
  <si>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</si>
  <si>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</si>
  <si>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</si>
  <si>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</si>
  <si>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</si>
  <si>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</si>
  <si>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</si>
  <si>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</si>
  <si>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</si>
  <si>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</si>
  <si>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</si>
  <si>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</si>
  <si>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</si>
  <si>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</si>
  <si>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</si>
  <si>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</si>
  <si>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</si>
  <si>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</si>
  <si>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</si>
  <si>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</si>
  <si>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</si>
  <si>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</si>
  <si>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</si>
  <si>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</si>
  <si>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</si>
  <si>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</si>
  <si>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</si>
  <si>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</si>
  <si>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</si>
  <si>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</si>
  <si>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</si>
  <si>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</si>
  <si>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</si>
  <si>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</si>
  <si>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</si>
  <si>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</si>
  <si>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</si>
  <si>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</si>
  <si>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</si>
  <si>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</si>
  <si>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</si>
  <si>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</si>
  <si>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</si>
  <si>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</si>
  <si>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</si>
  <si>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</si>
  <si>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</si>
  <si>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</si>
  <si>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</si>
  <si>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</si>
  <si>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</si>
  <si>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</si>
  <si>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</si>
  <si>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</si>
  <si>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</si>
  <si>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</si>
  <si>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</si>
  <si>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</si>
  <si>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</si>
  <si>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</si>
  <si>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</si>
  <si>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</si>
  <si>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</si>
  <si>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</si>
  <si>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</si>
  <si>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</si>
  <si>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</si>
  <si>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</si>
  <si>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</si>
  <si>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</si>
  <si>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</si>
  <si>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</si>
  <si>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</si>
  <si>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</si>
  <si>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</si>
  <si>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</si>
  <si>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</si>
  <si>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</si>
  <si>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</si>
  <si>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</si>
  <si>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</si>
  <si>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</si>
  <si>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</si>
  <si>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</si>
  <si>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</si>
  <si>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</si>
  <si>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</si>
  <si>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</si>
  <si>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</si>
  <si>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</si>
  <si>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</si>
  <si>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</si>
  <si>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</si>
  <si>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</si>
  <si>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</si>
  <si>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</si>
  <si>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</si>
  <si>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</si>
  <si>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</si>
  <si>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</si>
  <si>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</si>
  <si>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</si>
  <si>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</si>
  <si>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</si>
  <si>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</si>
  <si>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</si>
  <si>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</si>
  <si>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</si>
  <si>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</si>
  <si>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</si>
  <si>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</si>
  <si>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</si>
  <si>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</si>
  <si>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</si>
  <si>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</si>
  <si>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</si>
  <si>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</si>
  <si>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</si>
  <si>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</si>
  <si>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</si>
  <si>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</si>
  <si>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</si>
  <si>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</si>
  <si>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</si>
  <si>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</si>
  <si>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</si>
  <si>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</si>
  <si>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</si>
  <si>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</si>
  <si>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</si>
  <si>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</si>
  <si>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</si>
  <si>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</si>
  <si>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</si>
  <si>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</si>
  <si>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</si>
  <si>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</si>
  <si>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</si>
  <si>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</si>
  <si>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</si>
  <si>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</si>
  <si>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</si>
  <si>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</si>
  <si>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</si>
  <si>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</si>
  <si>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</si>
  <si>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</si>
  <si>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</si>
  <si>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</si>
  <si>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</si>
  <si>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</si>
  <si>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</si>
  <si>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</si>
  <si>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</si>
  <si>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</si>
  <si>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</si>
  <si>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</si>
  <si>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</si>
  <si>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</si>
  <si>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</si>
  <si>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</si>
  <si>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</si>
  <si>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</si>
  <si>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</si>
  <si>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</si>
  <si>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</si>
  <si>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</si>
  <si>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</si>
  <si>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</si>
  <si>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</si>
  <si>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</si>
  <si>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</si>
  <si>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</si>
  <si>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</si>
  <si>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</si>
  <si>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</si>
  <si>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</si>
  <si>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</si>
  <si>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</si>
  <si>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</si>
  <si>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</si>
  <si>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</si>
  <si>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</si>
  <si>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</si>
  <si>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</si>
  <si>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</si>
  <si>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</si>
  <si>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</si>
  <si>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</si>
  <si>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</si>
  <si>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</si>
  <si>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</si>
  <si>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</si>
  <si>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</si>
  <si>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</si>
  <si>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</si>
  <si>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</si>
  <si>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</si>
  <si>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</si>
  <si>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</si>
  <si>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</si>
  <si>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</si>
  <si>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</si>
  <si>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</si>
  <si>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</si>
  <si>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</si>
  <si>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</si>
  <si>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</si>
  <si>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</si>
  <si>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</si>
  <si>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</si>
  <si>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</si>
  <si>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</si>
  <si>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</si>
  <si>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</si>
  <si>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</si>
  <si>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</si>
  <si>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</si>
  <si>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</si>
  <si>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</si>
  <si>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</si>
  <si>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</si>
  <si>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</si>
  <si>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</si>
  <si>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</si>
  <si>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</si>
  <si>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</si>
  <si>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</si>
  <si>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</si>
  <si>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</si>
  <si>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</si>
  <si>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</si>
  <si>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</si>
  <si>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</si>
  <si>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</si>
  <si>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</si>
  <si>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</si>
  <si>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</si>
  <si>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</si>
  <si>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</si>
  <si>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</si>
  <si>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</si>
  <si>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</si>
  <si>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</si>
  <si>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</si>
  <si>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</si>
  <si>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</si>
  <si>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</si>
  <si>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</si>
  <si>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</si>
  <si>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</si>
  <si>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</si>
  <si>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</si>
  <si>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</si>
  <si>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</si>
  <si>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</si>
  <si>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</si>
  <si>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</si>
  <si>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</si>
  <si>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</si>
  <si>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</si>
  <si>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</si>
  <si>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</si>
  <si>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</si>
  <si>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</si>
  <si>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</si>
  <si>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</si>
  <si>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</si>
  <si>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</si>
  <si>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</si>
  <si>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</si>
  <si>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</si>
  <si>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</si>
  <si>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</si>
  <si>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</si>
  <si>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</si>
  <si>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</si>
  <si>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</si>
  <si>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</si>
  <si>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</si>
  <si>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</si>
  <si>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</si>
  <si>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</si>
  <si>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</si>
  <si>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</si>
  <si>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</si>
  <si>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</si>
  <si>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</si>
  <si>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</si>
  <si>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</si>
  <si>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</si>
  <si>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</si>
  <si>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</si>
  <si>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</si>
  <si>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</si>
  <si>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</si>
  <si>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</si>
  <si>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</si>
  <si>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</si>
  <si>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</si>
  <si>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</si>
  <si>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</si>
  <si>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</si>
  <si>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</si>
  <si>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</si>
  <si>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</si>
  <si>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</si>
  <si>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</si>
  <si>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</si>
  <si>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</si>
  <si>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</si>
  <si>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</si>
  <si>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</si>
  <si>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</si>
  <si>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</si>
  <si>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</si>
  <si>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</si>
  <si>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</si>
  <si>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</si>
  <si>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</si>
  <si>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</si>
  <si>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</si>
  <si>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</si>
  <si>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</si>
  <si>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</si>
  <si>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</si>
  <si>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</si>
  <si>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</si>
  <si>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</si>
  <si>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</si>
  <si>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</si>
  <si>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</si>
  <si>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</si>
  <si>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</si>
  <si>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</si>
  <si>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</si>
  <si>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</si>
  <si>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</si>
  <si>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</si>
  <si>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</si>
  <si>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</si>
  <si>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</si>
  <si>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</si>
  <si>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</si>
  <si>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</si>
  <si>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</si>
  <si>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</si>
  <si>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</si>
  <si>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</si>
  <si>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</si>
  <si>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</si>
  <si>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</si>
  <si>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</si>
  <si>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</si>
  <si>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</si>
  <si>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</si>
  <si>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</si>
  <si>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</si>
  <si>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</si>
  <si>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</si>
  <si>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</si>
  <si>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</si>
  <si>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</si>
  <si>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</si>
  <si>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</si>
  <si>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</si>
  <si>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</si>
  <si>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</si>
  <si>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</si>
  <si>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</si>
  <si>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</si>
  <si>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</si>
  <si>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</si>
  <si>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</si>
  <si>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</si>
  <si>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</si>
  <si>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</si>
  <si>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</si>
  <si>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</si>
  <si>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</si>
  <si>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</si>
  <si>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</si>
  <si>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</si>
  <si>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</si>
  <si>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</si>
  <si>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</si>
  <si>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</si>
  <si>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</si>
  <si>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</si>
  <si>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</si>
  <si>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</si>
  <si>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</si>
  <si>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</si>
  <si>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</si>
  <si>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</si>
  <si>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</si>
  <si>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</si>
  <si>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</si>
  <si>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</si>
  <si>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</si>
  <si>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</si>
  <si>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</si>
  <si>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</si>
  <si>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</si>
  <si>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</si>
  <si>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</si>
  <si>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</si>
  <si>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</si>
  <si>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</si>
  <si>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</si>
  <si>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</si>
  <si>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</si>
  <si>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</si>
  <si>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</si>
  <si>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</si>
  <si>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</si>
  <si>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</si>
  <si>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</si>
  <si>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</si>
  <si>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</si>
  <si>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</si>
  <si>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</si>
  <si>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</si>
  <si>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</si>
  <si>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</si>
  <si>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</si>
  <si>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</si>
  <si>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</si>
  <si>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</si>
  <si>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</si>
  <si>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</si>
  <si>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</si>
  <si>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</si>
  <si>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</si>
  <si>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</si>
  <si>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</si>
  <si>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</si>
  <si>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</si>
  <si>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</si>
  <si>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</si>
  <si>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</si>
  <si>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</si>
  <si>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</si>
  <si>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</si>
  <si>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</si>
  <si>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</si>
  <si>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</si>
  <si>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</si>
  <si>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</si>
  <si>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</si>
  <si>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</si>
  <si>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</si>
  <si>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</si>
  <si>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</si>
  <si>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</si>
  <si>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</si>
  <si>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</si>
  <si>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</si>
  <si>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</si>
  <si>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</si>
  <si>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</si>
  <si>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</si>
  <si>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</si>
  <si>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</si>
  <si>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</si>
  <si>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</si>
  <si>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</si>
  <si>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</si>
  <si>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</si>
  <si>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</si>
  <si>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</si>
  <si>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</si>
  <si>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</si>
  <si>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</si>
  <si>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</si>
  <si>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</si>
  <si>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</si>
  <si>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</si>
  <si>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</si>
  <si>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</si>
  <si>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</si>
  <si>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</si>
  <si>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</si>
  <si>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</si>
  <si>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</si>
  <si>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</si>
  <si>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</si>
  <si>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</si>
  <si>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</si>
  <si>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</si>
  <si>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</si>
  <si>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</si>
  <si>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</si>
  <si>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</si>
  <si>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</si>
  <si>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</si>
  <si>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</si>
  <si>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</si>
  <si>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</si>
  <si>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</si>
  <si>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</si>
  <si>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</si>
  <si>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</si>
  <si>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</si>
  <si>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</si>
  <si>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</si>
  <si>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</si>
  <si>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</si>
  <si>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</si>
  <si>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</si>
  <si>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</si>
  <si>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</si>
  <si>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</si>
  <si>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</si>
  <si>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</si>
  <si>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</si>
  <si>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</si>
  <si>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</si>
  <si>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</si>
  <si>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</si>
  <si>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</si>
  <si>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</si>
  <si>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</si>
  <si>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</si>
  <si>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</si>
  <si>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</si>
  <si>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</si>
  <si>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</si>
  <si>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</si>
  <si>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</si>
  <si>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</si>
  <si>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</si>
  <si>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</si>
  <si>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</si>
  <si>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</si>
  <si>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</si>
  <si>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</si>
  <si>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</si>
  <si>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</si>
  <si>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</si>
  <si>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</si>
  <si>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</si>
  <si>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</si>
  <si>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</si>
  <si>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</si>
  <si>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</si>
  <si>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</si>
  <si>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</si>
  <si>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</si>
  <si>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</si>
  <si>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</si>
  <si>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</si>
  <si>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</si>
  <si>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</si>
  <si>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</si>
  <si>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</si>
  <si>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</si>
  <si>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</si>
  <si>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</si>
  <si>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</si>
  <si>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</si>
  <si>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</si>
  <si>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</si>
  <si>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</si>
  <si>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</si>
  <si>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</si>
  <si>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</si>
  <si>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</si>
  <si>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</si>
  <si>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</si>
  <si>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</si>
  <si>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</si>
  <si>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</si>
  <si>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</si>
  <si>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</si>
  <si>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</si>
  <si>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</si>
  <si>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</si>
  <si>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</si>
  <si>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</si>
  <si>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</si>
  <si>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</si>
  <si>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</si>
  <si>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</si>
  <si>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</si>
  <si>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</si>
  <si>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</si>
  <si>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</si>
  <si>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</si>
  <si>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</si>
  <si>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</si>
  <si>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</si>
  <si>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</si>
  <si>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</si>
  <si>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</si>
  <si>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</si>
  <si>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</si>
  <si>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</si>
  <si>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</si>
  <si>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</si>
  <si>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</si>
  <si>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</si>
  <si>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</si>
  <si>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</si>
  <si>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</si>
  <si>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</si>
  <si>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</si>
  <si>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</si>
  <si>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</si>
  <si>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</si>
  <si>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</si>
  <si>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</si>
  <si>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</si>
  <si>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</si>
  <si>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</si>
  <si>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</si>
  <si>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</si>
  <si>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</si>
  <si>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</si>
  <si>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</si>
  <si>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</si>
  <si>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</si>
  <si>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</si>
  <si>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</si>
  <si>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</si>
  <si>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</si>
  <si>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</si>
  <si>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</si>
  <si>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</si>
  <si>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</si>
  <si>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</si>
  <si>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</si>
  <si>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</si>
  <si>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</si>
  <si>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</si>
  <si>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</si>
  <si>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</si>
  <si>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</si>
  <si>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</si>
  <si>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</si>
  <si>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</si>
  <si>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</si>
  <si>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</si>
  <si>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</si>
  <si>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</si>
  <si>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</si>
  <si>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</si>
  <si>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</si>
  <si>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</si>
  <si>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</si>
  <si>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</si>
  <si>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</si>
  <si>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</si>
  <si>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</si>
  <si>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</si>
  <si>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</si>
  <si>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</si>
  <si>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</si>
  <si>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</si>
  <si>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</si>
  <si>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</si>
  <si>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</si>
  <si>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</si>
  <si>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</si>
  <si>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</si>
  <si>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</si>
  <si>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</si>
  <si>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</si>
  <si>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</si>
  <si>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</si>
  <si>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</si>
  <si>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</si>
  <si>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</si>
  <si>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</si>
  <si>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</si>
  <si>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</si>
  <si>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</si>
  <si>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</si>
  <si>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</si>
  <si>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</si>
  <si>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</si>
  <si>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</si>
  <si>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</si>
  <si>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</si>
  <si>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</si>
  <si>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</si>
  <si>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</si>
  <si>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</si>
  <si>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</si>
  <si>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</si>
  <si>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</si>
  <si>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</si>
  <si>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</si>
  <si>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</si>
  <si>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</si>
  <si>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</si>
  <si>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</si>
  <si>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</si>
  <si>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</si>
  <si>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</si>
  <si>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</si>
  <si>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</si>
  <si>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</si>
  <si>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</si>
  <si>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</si>
  <si>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</si>
  <si>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</si>
  <si>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</si>
  <si>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</si>
  <si>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</si>
  <si>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</si>
  <si>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</si>
  <si>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</si>
  <si>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</si>
  <si>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</si>
  <si>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</si>
  <si>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</si>
  <si>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</si>
  <si>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</si>
  <si>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</si>
  <si>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</si>
  <si>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</si>
  <si>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</si>
  <si>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</si>
  <si>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</si>
  <si>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</si>
  <si>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</si>
  <si>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</si>
  <si>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</si>
  <si>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</si>
  <si>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</si>
  <si>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</si>
  <si>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</si>
  <si>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</si>
  <si>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</si>
  <si>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</si>
  <si>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</si>
  <si>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</si>
  <si>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</si>
  <si>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</si>
  <si>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</si>
  <si>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</si>
  <si>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</si>
  <si>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</si>
  <si>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</si>
  <si>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</si>
  <si>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</si>
  <si>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</si>
  <si>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</si>
  <si>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</si>
  <si>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</si>
  <si>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</si>
  <si>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</si>
  <si>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</si>
  <si>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</si>
  <si>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</si>
  <si>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</si>
  <si>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</si>
  <si>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</si>
  <si>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</si>
  <si>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</si>
  <si>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</si>
  <si>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</si>
  <si>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</si>
  <si>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</si>
  <si>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</si>
  <si>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</si>
  <si>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</si>
  <si>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</si>
  <si>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</si>
  <si>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</si>
  <si>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</si>
  <si>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</si>
  <si>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</si>
  <si>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</si>
  <si>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</si>
  <si>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</si>
  <si>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</si>
  <si>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</si>
  <si>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</si>
  <si>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</si>
  <si>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</si>
  <si>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</si>
  <si>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</si>
  <si>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</si>
  <si>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</si>
  <si>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</si>
  <si>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</si>
  <si>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</si>
  <si>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</si>
  <si>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</si>
  <si>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</si>
  <si>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</si>
  <si>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</si>
  <si>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</si>
  <si>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</si>
  <si>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</si>
  <si>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</si>
  <si>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</si>
  <si>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</si>
  <si>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</si>
  <si>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</si>
  <si>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</si>
  <si>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</si>
  <si>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</si>
  <si>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</si>
  <si>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</si>
  <si>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</si>
  <si>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</si>
  <si>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</si>
  <si>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</si>
  <si>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</si>
  <si>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</si>
  <si>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</si>
  <si>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</si>
  <si>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</si>
  <si>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</si>
  <si>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</si>
  <si>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</si>
  <si>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</si>
  <si>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</si>
  <si>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</si>
  <si>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</si>
  <si>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</si>
  <si>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</si>
  <si>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</si>
  <si>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</si>
  <si>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</si>
  <si>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</si>
  <si>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</si>
  <si>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</si>
  <si>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</si>
  <si>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</si>
  <si>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</si>
  <si>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</si>
  <si>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</si>
  <si>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</si>
  <si>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</si>
  <si>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</si>
  <si>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</si>
  <si>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</si>
  <si>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</si>
  <si>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</si>
  <si>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</si>
  <si>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</si>
  <si>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</si>
  <si>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</si>
  <si>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</si>
  <si>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</si>
  <si>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</si>
  <si>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</si>
  <si>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</si>
  <si>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</si>
  <si>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</si>
  <si>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</si>
  <si>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</si>
  <si>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</si>
  <si>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</si>
  <si>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</si>
  <si>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</si>
  <si>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</si>
  <si>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</si>
  <si>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</si>
  <si>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</si>
  <si>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</si>
  <si>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</si>
  <si>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</si>
  <si>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</si>
  <si>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</si>
  <si>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</si>
  <si>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</si>
  <si>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</si>
  <si>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</si>
  <si>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</si>
  <si>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</si>
  <si>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</si>
  <si>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</si>
  <si>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</si>
  <si>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</si>
  <si>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</si>
  <si>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</si>
  <si>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</si>
  <si>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</si>
  <si>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</si>
  <si>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</si>
  <si>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</si>
  <si>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</si>
  <si>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</si>
  <si>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</si>
  <si>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</si>
  <si>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</si>
  <si>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</si>
  <si>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</si>
  <si>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</si>
  <si>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</si>
  <si>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</si>
  <si>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</si>
  <si>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</si>
  <si>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</si>
  <si>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</si>
  <si>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</si>
  <si>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</si>
  <si>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</si>
  <si>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</si>
  <si>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</si>
  <si>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</si>
  <si>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</si>
  <si>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</si>
  <si>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</si>
  <si>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</si>
  <si>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</si>
  <si>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</si>
  <si>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</si>
  <si>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</si>
  <si>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</si>
  <si>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</si>
  <si>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</si>
  <si>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</si>
  <si>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</si>
  <si>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</si>
  <si>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</si>
  <si>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</si>
  <si>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</si>
  <si>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</si>
  <si>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</si>
  <si>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</si>
  <si>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</si>
  <si>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</si>
  <si>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</si>
  <si>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</si>
  <si>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</si>
  <si>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</si>
  <si>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</si>
  <si>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</si>
  <si>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</si>
  <si>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</si>
  <si>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</si>
  <si>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</si>
  <si>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</si>
  <si>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</si>
  <si>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</si>
  <si>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</si>
  <si>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</si>
  <si>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</si>
  <si>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</si>
  <si>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</si>
  <si>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</si>
  <si>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</si>
  <si>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</si>
  <si>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</si>
  <si>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</si>
  <si>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</si>
  <si>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</si>
  <si>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</si>
  <si>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</si>
  <si>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</si>
  <si>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</si>
  <si>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</si>
  <si>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</si>
  <si>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</si>
  <si>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</si>
  <si>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</si>
  <si>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</si>
  <si>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</si>
  <si>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</si>
  <si>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</si>
  <si>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</si>
  <si>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</si>
  <si>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</si>
  <si>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</si>
  <si>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</si>
  <si>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</si>
  <si>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</si>
  <si>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</si>
  <si>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</si>
  <si>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</si>
  <si>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</si>
  <si>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</si>
  <si>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</si>
  <si>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</si>
  <si>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</si>
  <si>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</si>
  <si>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</si>
  <si>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</si>
  <si>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</si>
  <si>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</si>
  <si>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</si>
  <si>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</si>
  <si>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</si>
  <si>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</si>
  <si>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</si>
  <si>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</si>
  <si>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</si>
  <si>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</si>
  <si>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</si>
  <si>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</si>
  <si>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</si>
  <si>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</si>
  <si>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</si>
  <si>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</si>
  <si>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</si>
  <si>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</si>
  <si>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</si>
  <si>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</si>
  <si>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</si>
  <si>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</si>
  <si>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</si>
  <si>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</si>
  <si>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</si>
  <si>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</si>
  <si>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</si>
  <si>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</si>
  <si>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</si>
  <si>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</si>
  <si>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</si>
  <si>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</si>
  <si>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</si>
  <si>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</si>
  <si>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</si>
  <si>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</si>
  <si>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</si>
  <si>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</si>
  <si>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</si>
  <si>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</si>
  <si>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</si>
  <si>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</si>
  <si>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</si>
  <si>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</si>
  <si>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</si>
  <si>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</si>
  <si>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</si>
  <si>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</si>
  <si>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</si>
  <si>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</si>
  <si>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</si>
  <si>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</si>
  <si>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</si>
  <si>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</si>
  <si>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</si>
  <si>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</si>
  <si>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</si>
  <si>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</si>
  <si>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</si>
  <si>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</si>
  <si>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</si>
  <si>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</si>
  <si>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</si>
  <si>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</si>
  <si>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</si>
  <si>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</si>
  <si>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</si>
  <si>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</si>
  <si>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</si>
  <si>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</si>
  <si>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</si>
  <si>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</si>
  <si>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</si>
  <si>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</si>
  <si>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</si>
  <si>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</si>
  <si>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</si>
  <si>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</si>
  <si>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</si>
  <si>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</si>
  <si>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</si>
  <si>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</si>
  <si>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</si>
  <si>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</si>
  <si>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</si>
  <si>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</si>
  <si>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</si>
  <si>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</si>
  <si>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</si>
  <si>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</si>
  <si>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</si>
  <si>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</si>
  <si>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</si>
  <si>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</si>
  <si>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</si>
  <si>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</si>
  <si>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</si>
  <si>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</si>
  <si>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</si>
  <si>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</si>
  <si>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</si>
  <si>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</si>
  <si>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</si>
  <si>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</si>
  <si>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</si>
  <si>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</si>
  <si>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</si>
  <si>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</si>
  <si>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</si>
  <si>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</si>
  <si>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</si>
  <si>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</si>
  <si>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</si>
  <si>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</si>
  <si>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</si>
  <si>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</si>
  <si>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</si>
  <si>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</si>
  <si>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</si>
  <si>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</si>
  <si>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</si>
  <si>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</si>
  <si>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</si>
  <si>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</si>
  <si>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</si>
  <si>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</si>
  <si>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</si>
  <si>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</si>
  <si>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</si>
  <si>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</si>
  <si>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</si>
  <si>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</si>
  <si>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</si>
  <si>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</si>
  <si>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</si>
  <si>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</si>
  <si>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</si>
  <si>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</si>
  <si>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</si>
  <si>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</si>
  <si>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</si>
  <si>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</si>
  <si>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</si>
  <si>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</si>
  <si>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</si>
  <si>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</si>
  <si>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</si>
  <si>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</si>
  <si>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</si>
  <si>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</si>
  <si>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</si>
  <si>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</si>
  <si>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</si>
  <si>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</si>
  <si>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</si>
  <si>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</si>
  <si>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</si>
  <si>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</si>
  <si>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</si>
  <si>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</si>
  <si>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</si>
  <si>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</si>
  <si>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</si>
  <si>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</si>
  <si>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</si>
  <si>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</si>
  <si>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</si>
  <si>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</si>
  <si>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</si>
  <si>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</si>
  <si>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</si>
  <si>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</si>
  <si>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</si>
  <si>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</si>
  <si>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</si>
  <si>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</si>
  <si>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</si>
  <si>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</si>
  <si>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</si>
  <si>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</si>
  <si>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</si>
  <si>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</si>
  <si>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</si>
  <si>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</si>
  <si>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</si>
  <si>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</si>
  <si>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</si>
  <si>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</si>
  <si>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</si>
  <si>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</si>
  <si>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</si>
  <si>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</si>
  <si>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</si>
  <si>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</si>
  <si>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</si>
  <si>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</si>
  <si>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</si>
  <si>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</si>
  <si>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</si>
  <si>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</si>
  <si>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</si>
  <si>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</si>
  <si>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</si>
  <si>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</si>
  <si>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</si>
  <si>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</si>
  <si>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</si>
  <si>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</si>
  <si>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</si>
  <si>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</si>
  <si>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</si>
  <si>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</si>
  <si>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</si>
  <si>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</si>
  <si>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</si>
  <si>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</si>
  <si>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</si>
  <si>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</si>
  <si>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</si>
  <si>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</si>
  <si>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</si>
  <si>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</si>
  <si>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</si>
  <si>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</si>
  <si>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</si>
  <si>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</si>
  <si>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</si>
  <si>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</si>
  <si>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</si>
  <si>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</si>
  <si>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</si>
  <si>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</si>
  <si>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</si>
  <si>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</si>
  <si>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</si>
  <si>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</si>
  <si>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</si>
  <si>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</si>
  <si>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</si>
  <si>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</si>
  <si>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</si>
  <si>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</si>
  <si>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</si>
  <si>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</si>
  <si>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</si>
  <si>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</si>
  <si>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</si>
  <si>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</si>
  <si>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</si>
  <si>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</si>
  <si>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</si>
  <si>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</si>
  <si>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</si>
  <si>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</si>
  <si>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</si>
  <si>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</si>
  <si>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</si>
  <si>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</si>
  <si>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</si>
  <si>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</si>
  <si>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</si>
  <si>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</si>
  <si>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</si>
  <si>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</si>
  <si>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</si>
  <si>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</si>
  <si>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</si>
  <si>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</si>
  <si>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</si>
  <si>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</si>
  <si>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</si>
  <si>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</si>
  <si>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</si>
  <si>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</si>
  <si>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</si>
  <si>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</si>
  <si>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</si>
  <si>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</si>
  <si>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</si>
  <si>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</si>
  <si>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</si>
  <si>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</si>
  <si>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</si>
  <si>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</si>
  <si>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</si>
  <si>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</si>
  <si>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</si>
  <si>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</si>
  <si>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</si>
  <si>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</si>
  <si>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</si>
  <si>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</si>
  <si>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</si>
  <si>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</si>
  <si>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</si>
  <si>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</si>
  <si>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</si>
  <si>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</si>
  <si>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</si>
  <si>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</si>
  <si>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</si>
  <si>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</si>
  <si>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</si>
  <si>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</si>
  <si>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</si>
  <si>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</si>
  <si>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</si>
  <si>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</si>
  <si>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</si>
  <si>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</si>
  <si>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</si>
  <si>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</si>
  <si>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</si>
  <si>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</si>
  <si>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</si>
  <si>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</si>
  <si>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</si>
  <si>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</si>
  <si>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</si>
  <si>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</si>
  <si>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</si>
  <si>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</si>
  <si>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</si>
  <si>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</si>
  <si>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</si>
  <si>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</si>
  <si>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</si>
  <si>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</si>
  <si>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</si>
  <si>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</si>
  <si>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</si>
  <si>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</si>
  <si>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</si>
  <si>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</si>
  <si>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</si>
  <si>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</si>
  <si>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</si>
  <si>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</si>
  <si>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</si>
  <si>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</si>
  <si>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</si>
  <si>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</si>
  <si>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</si>
  <si>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</si>
  <si>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</si>
  <si>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</si>
  <si>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</si>
  <si>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</si>
  <si>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</si>
  <si>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</si>
  <si>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</si>
  <si>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</si>
  <si>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</si>
  <si>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</si>
  <si>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</si>
  <si>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</si>
  <si>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</si>
  <si>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</si>
  <si>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</si>
  <si>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</si>
  <si>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</si>
  <si>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</si>
  <si>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</si>
  <si>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</si>
  <si>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</si>
  <si>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</si>
  <si>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</si>
  <si>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</si>
  <si>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</si>
  <si>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</si>
  <si>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</si>
  <si>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</si>
  <si>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</si>
  <si>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</si>
  <si>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</si>
  <si>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</si>
  <si>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</si>
  <si>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</si>
  <si>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</si>
  <si>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</si>
  <si>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</si>
  <si>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</si>
  <si>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</si>
  <si>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</si>
  <si>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</si>
  <si>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</si>
  <si>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</si>
  <si>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</si>
  <si>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</si>
  <si>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</si>
  <si>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</si>
  <si>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</si>
  <si>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</si>
  <si>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</si>
  <si>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</si>
  <si>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</si>
  <si>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</si>
  <si>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</si>
  <si>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</si>
  <si>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</si>
  <si>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</si>
  <si>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</si>
  <si>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</si>
  <si>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</si>
  <si>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</si>
  <si>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</si>
  <si>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</si>
  <si>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</si>
  <si>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</si>
  <si>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</si>
  <si>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</si>
  <si>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</si>
  <si>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</si>
  <si>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</si>
  <si>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</si>
  <si>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</si>
  <si>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</si>
  <si>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</si>
  <si>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</si>
  <si>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</si>
  <si>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</si>
  <si>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</si>
  <si>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</si>
  <si>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</si>
  <si>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</si>
  <si>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</si>
  <si>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</si>
  <si>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</si>
  <si>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</si>
  <si>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</si>
  <si>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</si>
  <si>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</si>
  <si>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</si>
  <si>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</si>
  <si>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</si>
  <si>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</si>
  <si>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</si>
  <si>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</si>
  <si>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</si>
  <si>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</si>
  <si>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</si>
  <si>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</si>
  <si>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</si>
  <si>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</si>
  <si>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</si>
  <si>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</si>
  <si>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</si>
  <si>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</si>
  <si>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</si>
  <si>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</si>
  <si>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</si>
  <si>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</si>
  <si>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</si>
  <si>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</si>
  <si>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</si>
  <si>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</si>
  <si>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</si>
  <si>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</si>
  <si>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</si>
  <si>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</si>
  <si>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</si>
  <si>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</si>
  <si>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</si>
  <si>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</si>
  <si>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</si>
  <si>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</si>
  <si>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</si>
  <si>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</si>
  <si>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</si>
  <si>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</si>
  <si>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</si>
  <si>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</si>
  <si>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</si>
  <si>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</si>
  <si>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</si>
  <si>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</si>
  <si>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</si>
  <si>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</si>
  <si>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</si>
  <si>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</si>
  <si>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</si>
  <si>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</si>
  <si>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</si>
  <si>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</si>
  <si>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</si>
  <si>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</si>
  <si>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</si>
  <si>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</si>
  <si>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</si>
  <si>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</si>
  <si>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</si>
  <si>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</si>
  <si>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</si>
  <si>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</si>
  <si>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</si>
  <si>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</si>
  <si>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</si>
  <si>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</si>
  <si>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</si>
  <si>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</si>
  <si>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</si>
  <si>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</si>
  <si>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</si>
  <si>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</si>
  <si>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</si>
  <si>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</si>
  <si>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</si>
  <si>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</si>
  <si>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</si>
  <si>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</si>
  <si>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</si>
  <si>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</si>
  <si>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</si>
  <si>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</si>
  <si>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</si>
  <si>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</si>
  <si>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</si>
  <si>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</si>
  <si>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</si>
  <si>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</si>
  <si>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</si>
  <si>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</si>
  <si>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</si>
  <si>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</si>
  <si>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</si>
  <si>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</si>
  <si>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</si>
  <si>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</si>
  <si>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</si>
  <si>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</si>
  <si>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</si>
  <si>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</si>
  <si>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</si>
  <si>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</si>
  <si>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</si>
  <si>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</si>
  <si>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</si>
  <si>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</si>
  <si>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</si>
  <si>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</si>
  <si>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</si>
  <si>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</si>
  <si>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</si>
  <si>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</si>
  <si>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</si>
  <si>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</si>
  <si>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</si>
  <si>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</si>
  <si>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</si>
  <si>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</si>
  <si>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</si>
  <si>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</si>
  <si>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</si>
  <si>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</si>
  <si>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</si>
  <si>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</si>
  <si>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</si>
  <si>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</si>
  <si>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</si>
  <si>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</si>
  <si>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</si>
  <si>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</si>
  <si>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</si>
  <si>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</si>
  <si>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</si>
  <si>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</si>
  <si>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</si>
  <si>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</si>
  <si>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</si>
  <si>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</si>
  <si>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</si>
  <si>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</si>
  <si>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</si>
  <si>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</si>
  <si>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</si>
  <si>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</si>
  <si>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</si>
  <si>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</si>
  <si>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</si>
  <si>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</si>
  <si>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</si>
  <si>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</si>
  <si>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</si>
  <si>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</si>
  <si>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</si>
  <si>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</si>
  <si>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</si>
  <si>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</si>
  <si>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</si>
  <si>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</si>
  <si>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</si>
  <si>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</si>
  <si>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</si>
  <si>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</si>
  <si>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</si>
  <si>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</si>
  <si>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</si>
  <si>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</si>
  <si>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</si>
  <si>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</si>
  <si>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</si>
  <si>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</si>
  <si>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</si>
  <si>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</si>
  <si>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</si>
  <si>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</si>
  <si>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</si>
  <si>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</si>
  <si>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</si>
  <si>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</si>
  <si>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</si>
  <si>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</si>
  <si>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</si>
  <si>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</si>
  <si>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</si>
  <si>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</si>
  <si>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</si>
  <si>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</si>
  <si>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</si>
  <si>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</si>
  <si>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</si>
  <si>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</si>
  <si>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</si>
  <si>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</si>
  <si>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</si>
  <si>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</si>
  <si>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</si>
  <si>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</si>
  <si>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</si>
  <si>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</si>
  <si>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</si>
  <si>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</si>
  <si>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</si>
  <si>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</si>
  <si>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</si>
  <si>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</si>
  <si>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</si>
  <si>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</si>
  <si>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</si>
  <si>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</si>
  <si>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</si>
  <si>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</si>
  <si>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</si>
  <si>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</si>
  <si>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</si>
  <si>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</si>
  <si>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</si>
  <si>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</si>
  <si>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</si>
  <si>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</si>
  <si>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</si>
  <si>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</si>
  <si>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</si>
  <si>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</si>
  <si>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</si>
  <si>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</si>
  <si>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</si>
  <si>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</si>
  <si>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</si>
  <si>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</si>
  <si>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</si>
  <si>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</si>
  <si>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</si>
  <si>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</si>
  <si>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</si>
  <si>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</si>
  <si>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</si>
  <si>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</si>
  <si>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</si>
  <si>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</si>
  <si>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</si>
  <si>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</si>
  <si>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</si>
  <si>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</si>
  <si>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</si>
  <si>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</si>
  <si>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</si>
  <si>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</si>
  <si>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</si>
  <si>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</si>
  <si>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</si>
  <si>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</si>
  <si>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</si>
  <si>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</si>
  <si>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</si>
  <si>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</si>
  <si>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</si>
  <si>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</si>
  <si>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</si>
  <si>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</si>
  <si>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</si>
  <si>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</si>
  <si>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</si>
  <si>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</si>
  <si>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</si>
  <si>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</si>
  <si>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</si>
  <si>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</si>
  <si>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</si>
  <si>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</si>
  <si>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</si>
  <si>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</si>
  <si>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</si>
  <si>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</si>
  <si>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</si>
  <si>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</si>
  <si>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</si>
  <si>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</si>
  <si>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</si>
  <si>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</si>
  <si>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</si>
  <si>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</si>
  <si>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</si>
  <si>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</si>
  <si>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</si>
  <si>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</si>
  <si>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</si>
  <si>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</si>
  <si>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</si>
  <si>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</si>
  <si>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</si>
  <si>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</si>
  <si>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</si>
  <si>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</si>
  <si>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</si>
  <si>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</si>
  <si>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</si>
  <si>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</si>
  <si>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</si>
  <si>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</si>
  <si>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</si>
  <si>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</si>
  <si>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</si>
  <si>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</si>
  <si>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</si>
  <si>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</si>
  <si>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</si>
  <si>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</si>
  <si>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</si>
  <si>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</si>
  <si>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</si>
  <si>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</si>
  <si>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</si>
  <si>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</si>
  <si>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</si>
  <si>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</si>
  <si>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</si>
  <si>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</si>
  <si>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</si>
  <si>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</si>
  <si>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</si>
  <si>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</si>
  <si>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</si>
  <si>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</si>
  <si>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</si>
  <si>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</si>
  <si>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</si>
  <si>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</si>
  <si>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</si>
  <si>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</si>
  <si>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</si>
  <si>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</si>
  <si>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</si>
  <si>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</si>
  <si>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</si>
  <si>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</si>
  <si>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</si>
  <si>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</si>
  <si>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</si>
  <si>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</si>
  <si>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</si>
  <si>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</si>
  <si>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</si>
  <si>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</si>
  <si>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</si>
  <si>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</si>
  <si>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</si>
  <si>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</si>
  <si>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</si>
  <si>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</si>
  <si>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</si>
  <si>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</si>
  <si>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</si>
  <si>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</si>
  <si>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</si>
  <si>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</si>
  <si>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</si>
  <si>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</si>
  <si>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</si>
  <si>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</si>
  <si>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</si>
  <si>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</si>
  <si>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</si>
  <si>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</si>
  <si>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</si>
  <si>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</si>
  <si>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</si>
  <si>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</si>
  <si>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</si>
  <si>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</si>
  <si>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</si>
  <si>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</si>
  <si>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</si>
  <si>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</si>
  <si>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</si>
  <si>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</si>
  <si>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</si>
  <si>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</si>
  <si>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</si>
  <si>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</si>
  <si>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</si>
  <si>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</si>
  <si>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</si>
  <si>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</si>
  <si>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</si>
  <si>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</si>
  <si>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</si>
  <si>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</si>
  <si>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</si>
  <si>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</si>
  <si>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</si>
  <si>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</si>
  <si>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</si>
  <si>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</si>
  <si>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</si>
  <si>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</si>
  <si>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</si>
  <si>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</si>
  <si>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</si>
  <si>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</si>
  <si>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</si>
  <si>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</si>
  <si>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</si>
  <si>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</si>
  <si>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</si>
  <si>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</si>
  <si>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</si>
  <si>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</si>
  <si>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</si>
  <si>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</si>
  <si>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</si>
  <si>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</si>
  <si>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</si>
  <si>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</si>
  <si>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</si>
  <si>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</si>
  <si>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</si>
  <si>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</si>
  <si>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</si>
  <si>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</si>
  <si>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</si>
  <si>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</si>
  <si>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</si>
  <si>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</si>
  <si>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</si>
  <si>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</si>
  <si>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</si>
  <si>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</si>
  <si>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</si>
  <si>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</si>
  <si>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</si>
  <si>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</si>
  <si>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</si>
  <si>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</si>
  <si>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</si>
  <si>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</si>
  <si>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</si>
  <si>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</si>
  <si>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</si>
  <si>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</si>
  <si>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</si>
  <si>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</si>
  <si>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</si>
  <si>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</si>
  <si>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</si>
  <si>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</si>
  <si>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</si>
  <si>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</si>
  <si>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</si>
  <si>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</si>
  <si>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</si>
  <si>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</si>
  <si>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</si>
  <si>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</si>
  <si>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</si>
  <si>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</si>
  <si>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</si>
  <si>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</si>
  <si>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</si>
  <si>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</si>
  <si>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</si>
  <si>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</si>
  <si>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</si>
  <si>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</si>
  <si>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</si>
  <si>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</si>
  <si>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</si>
  <si>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</si>
  <si>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</si>
  <si>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</si>
  <si>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</si>
  <si>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</si>
  <si>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</si>
  <si>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</si>
  <si>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</si>
  <si>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</si>
  <si>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</si>
  <si>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</si>
  <si>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</si>
  <si>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</si>
  <si>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</si>
  <si>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</si>
  <si>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</si>
  <si>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</si>
  <si>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</si>
  <si>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</si>
  <si>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</si>
  <si>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</si>
  <si>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</si>
  <si>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</si>
  <si>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</si>
  <si>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</si>
  <si>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</si>
  <si>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</si>
  <si>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</si>
  <si>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</si>
  <si>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</si>
  <si>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</si>
  <si>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</si>
  <si>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</si>
  <si>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</si>
  <si>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</si>
  <si>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</si>
  <si>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</si>
  <si>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</si>
  <si>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</si>
  <si>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</si>
  <si>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</si>
  <si>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</si>
  <si>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</si>
  <si>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</si>
  <si>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</si>
  <si>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</si>
  <si>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</si>
  <si>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</si>
  <si>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</si>
  <si>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</si>
  <si>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</si>
  <si>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</si>
  <si>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</si>
  <si>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</si>
  <si>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</si>
  <si>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</si>
  <si>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</si>
  <si>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</si>
  <si>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</si>
  <si>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</si>
  <si>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</si>
  <si>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</si>
  <si>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</si>
  <si>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</si>
  <si>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</si>
  <si>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</si>
  <si>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</si>
  <si>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</si>
  <si>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</si>
  <si>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</si>
  <si>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</si>
  <si>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</si>
  <si>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</si>
  <si>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</si>
  <si>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</si>
  <si>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</si>
  <si>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</si>
  <si>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</si>
  <si>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</si>
  <si>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</si>
  <si>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</si>
  <si>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</si>
  <si>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</si>
  <si>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</si>
  <si>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</si>
  <si>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</si>
  <si>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</si>
  <si>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</si>
  <si>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</si>
  <si>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</si>
  <si>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</si>
  <si>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</si>
  <si>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</si>
  <si>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</si>
  <si>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</si>
  <si>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</si>
  <si>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</si>
  <si>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</si>
  <si>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</si>
  <si>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</si>
  <si>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</si>
  <si>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</si>
  <si>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</si>
  <si>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</si>
  <si>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</si>
  <si>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</si>
  <si>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</si>
  <si>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</si>
  <si>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</si>
  <si>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</si>
  <si>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</si>
  <si>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</si>
  <si>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</si>
  <si>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</si>
  <si>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</si>
  <si>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</si>
  <si>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</si>
  <si>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</si>
  <si>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</si>
  <si>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</si>
  <si>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</si>
  <si>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</si>
  <si>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</si>
  <si>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</si>
  <si>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</si>
  <si>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</si>
  <si>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</si>
  <si>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</si>
  <si>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</si>
  <si>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</si>
  <si>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</si>
  <si>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</si>
  <si>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</si>
  <si>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</si>
  <si>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</si>
  <si>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</si>
  <si>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</si>
  <si>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</si>
  <si>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</si>
  <si>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</si>
  <si>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</si>
  <si>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</si>
  <si>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</si>
  <si>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</si>
  <si>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</si>
  <si>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</si>
  <si>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</si>
  <si>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</si>
  <si>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</si>
  <si>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</si>
  <si>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</si>
  <si>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</si>
  <si>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</si>
  <si>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</si>
  <si>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</si>
  <si>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</si>
  <si>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</si>
  <si>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</si>
  <si>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</si>
  <si>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</si>
  <si>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</si>
  <si>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</si>
  <si>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</si>
  <si>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</si>
  <si>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</si>
  <si>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</si>
  <si>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</si>
  <si>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</si>
  <si>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</si>
  <si>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</si>
  <si>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</si>
  <si>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</si>
  <si>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</si>
  <si>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</si>
  <si>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</si>
  <si>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</si>
  <si>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</si>
  <si>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</si>
  <si>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</si>
  <si>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</si>
  <si>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</si>
  <si>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</si>
  <si>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</si>
  <si>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</si>
  <si>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</si>
  <si>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</si>
  <si>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</si>
  <si>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</si>
  <si>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</si>
  <si>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</si>
  <si>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</si>
  <si>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</si>
  <si>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</si>
  <si>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</si>
  <si>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</si>
  <si>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</si>
  <si>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</si>
  <si>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</si>
  <si>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</si>
  <si>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</si>
  <si>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</si>
  <si>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</si>
  <si>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</si>
  <si>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</si>
  <si>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</si>
  <si>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</si>
  <si>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</si>
  <si>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</si>
  <si>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</si>
  <si>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</si>
  <si>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</si>
  <si>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</si>
  <si>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</si>
  <si>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</si>
  <si>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</si>
  <si>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</si>
  <si>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</si>
  <si>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</si>
  <si>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</si>
  <si>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</si>
  <si>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</si>
  <si>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</si>
  <si>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</si>
  <si>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</si>
  <si>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</si>
  <si>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</si>
  <si>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</si>
  <si>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</si>
  <si>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</si>
  <si>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</si>
  <si>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</si>
  <si>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</si>
  <si>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</si>
  <si>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</si>
  <si>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</si>
  <si>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</si>
  <si>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</si>
  <si>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</si>
  <si>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</si>
  <si>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</si>
  <si>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</si>
  <si>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</si>
  <si>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</si>
  <si>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</si>
  <si>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</si>
  <si>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</si>
  <si>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</si>
  <si>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</si>
  <si>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</si>
  <si>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</si>
  <si>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</si>
  <si>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</si>
  <si>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</si>
  <si>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</si>
  <si>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</si>
  <si>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</si>
  <si>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</si>
  <si>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</si>
  <si>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</si>
  <si>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</si>
  <si>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</si>
  <si>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</si>
  <si>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</si>
  <si>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</si>
  <si>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</si>
  <si>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</si>
  <si>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</si>
  <si>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</si>
  <si>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</si>
  <si>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</si>
  <si>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</si>
  <si>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</si>
  <si>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</si>
  <si>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</si>
  <si>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</si>
  <si>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</si>
  <si>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</si>
  <si>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</si>
  <si>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</si>
  <si>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</si>
  <si>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</si>
  <si>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</si>
  <si>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</si>
  <si>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</si>
  <si>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</si>
  <si>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</si>
  <si>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</si>
  <si>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</si>
  <si>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</si>
  <si>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</si>
  <si>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</si>
  <si>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</si>
  <si>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</si>
  <si>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</si>
  <si>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</si>
  <si>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</si>
  <si>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</si>
  <si>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</si>
  <si>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</si>
  <si>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</si>
  <si>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</si>
  <si>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</si>
  <si>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</si>
  <si>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</si>
  <si>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</si>
  <si>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</si>
  <si>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</si>
  <si>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</si>
  <si>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</si>
  <si>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</si>
  <si>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</si>
  <si>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</si>
  <si>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</si>
  <si>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</si>
  <si>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</si>
  <si>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</si>
  <si>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</si>
  <si>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</si>
  <si>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</si>
  <si>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</si>
  <si>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</si>
  <si>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</si>
  <si>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</si>
  <si>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</si>
  <si>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</si>
  <si>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</si>
  <si>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</si>
  <si>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</si>
  <si>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</si>
  <si>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</si>
  <si>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</si>
  <si>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</si>
  <si>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</si>
  <si>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</si>
  <si>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</si>
  <si>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</si>
  <si>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</si>
  <si>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</si>
  <si>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</si>
  <si>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</si>
  <si>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</si>
  <si>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</si>
  <si>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</si>
  <si>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</si>
  <si>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</si>
  <si>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</si>
  <si>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</si>
  <si>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</si>
  <si>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</si>
  <si>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</si>
  <si>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</si>
  <si>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</si>
  <si>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</si>
  <si>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</si>
  <si>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</si>
  <si>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</si>
  <si>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</si>
  <si>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</si>
  <si>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</si>
  <si>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</si>
  <si>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</si>
  <si>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</si>
  <si>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</si>
  <si>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</si>
  <si>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</si>
  <si>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</si>
  <si>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</si>
  <si>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</si>
  <si>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</si>
  <si>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</si>
  <si>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</si>
  <si>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</si>
  <si>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</si>
  <si>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</si>
  <si>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</si>
  <si>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</si>
  <si>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</si>
  <si>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</si>
  <si>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</si>
  <si>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</si>
  <si>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</si>
  <si>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</si>
  <si>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</si>
  <si>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</si>
  <si>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</si>
  <si>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</si>
  <si>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</si>
  <si>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</si>
  <si>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</si>
  <si>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</si>
  <si>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</si>
  <si>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</si>
  <si>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</si>
  <si>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</si>
  <si>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</si>
  <si>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</si>
  <si>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</si>
  <si>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</si>
  <si>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</si>
  <si>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</si>
  <si>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</si>
  <si>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</si>
  <si>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</si>
  <si>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</si>
  <si>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</si>
  <si>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</si>
  <si>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</si>
  <si>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</si>
  <si>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</si>
  <si>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</si>
  <si>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</si>
  <si>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</si>
  <si>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</si>
  <si>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</si>
  <si>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</si>
  <si>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</si>
  <si>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</si>
  <si>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</si>
  <si>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</si>
  <si>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</si>
  <si>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</si>
  <si>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</si>
  <si>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</si>
  <si>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</si>
  <si>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</si>
  <si>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</si>
  <si>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</si>
  <si>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</si>
  <si>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</si>
  <si>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</si>
  <si>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</si>
  <si>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</si>
  <si>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</si>
  <si>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</si>
  <si>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</si>
  <si>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</si>
  <si>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</si>
  <si>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</si>
  <si>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</si>
  <si>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</si>
  <si>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</si>
  <si>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</si>
  <si>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</si>
  <si>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</si>
  <si>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</si>
  <si>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</si>
  <si>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</si>
  <si>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</si>
  <si>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</si>
  <si>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</si>
  <si>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</si>
  <si>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</si>
  <si>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</si>
  <si>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</si>
  <si>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</si>
  <si>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</si>
  <si>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</si>
  <si>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</si>
  <si>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</si>
  <si>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</si>
  <si>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</si>
  <si>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</si>
  <si>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</si>
  <si>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</si>
  <si>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</si>
  <si>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</si>
  <si>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</si>
  <si>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</si>
  <si>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</si>
  <si>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</si>
  <si>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</si>
  <si>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</si>
  <si>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</si>
  <si>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</si>
  <si>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</si>
  <si>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</si>
  <si>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</si>
  <si>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</si>
  <si>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</si>
  <si>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</si>
  <si>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</si>
  <si>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</si>
  <si>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</si>
  <si>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</si>
  <si>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</si>
  <si>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</si>
  <si>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</si>
  <si>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</si>
  <si>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</si>
  <si>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</si>
  <si>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</si>
  <si>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</si>
  <si>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</si>
  <si>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</si>
  <si>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</si>
  <si>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</si>
  <si>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</si>
  <si>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</si>
  <si>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 REGIONAL ATLANTICO</t>
  </si>
  <si>
    <t>284</t>
  </si>
  <si>
    <t>Atender integralmente a la primera infancia en el marco de la estrategia "De cero a Siempre" de conformidad con las directrices, lineamiento y estandares establecidos por el ICBF, así como regular las relaciones entre las partes derivadas de la entrega de aportes del ICBF al contratista para que este asuma bajo su exclusividad responsabilidad de dicha atención.</t>
  </si>
  <si>
    <t>350</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</si>
  <si>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</si>
  <si>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286</t>
  </si>
  <si>
    <t>Prestar el servicio de atención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</si>
  <si>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806</t>
  </si>
  <si>
    <t>prestar el servicio de atención educacion inicial y cuidado a niños y niñas menores de 5 años, o hasta su ingreso al grado de transición, con el fin de promover el desarrollo integral de la primera infancia con calidad, de  conformidad con los lineamientos, manual opertivo, las directrices, parámetros y estándares establecidos por el ICBF, en el marco de la estrategia de atención integral "de cero a siempre".</t>
  </si>
  <si>
    <t>868</t>
  </si>
  <si>
    <t>Prestar el servicio de atención a niños y niñas menores de 5 años, o hasta su ingreso al grado de transición, con el fin de promover el desrrollo integral de la primera infancia con caliad de conformidad  con el lineamiento, el manual operativo y las directrices establecidas por el ICBF, en el marco de la politica de estado para el desarrollo integral de la primera infancia "de cero a siempre", en el servicio centro de desarrollo infantil.</t>
  </si>
  <si>
    <t>SI</t>
  </si>
  <si>
    <t>542</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</si>
  <si>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politica de estado para el desarrollo integral de la primera infancia "de cero a siempre", en el servicio centros de desarrollo infantil.</t>
  </si>
  <si>
    <t>437</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</si>
  <si>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parael desarrollo integral de la primera infancia "de cero a siempre", en el servicio centros de desarrollo infantil.</t>
  </si>
  <si>
    <t>ICBF REGIONAL CUNDINAMARCA</t>
  </si>
  <si>
    <t>25-18-2017-805</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</si>
  <si>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ICBF,en armonía con la política de estado para el desarrollo integral de la primera infancia "De Cero a Siempre" en el servicio Desarrollo Infantil en Medio Familiar.</t>
  </si>
  <si>
    <t>25-18-2017-806</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</si>
  <si>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armonía con la primera infancia "De cero a Siempre", en el servicio de Centros de Desarrollo INFANTIL.</t>
  </si>
  <si>
    <t>25-18-2017-807</t>
  </si>
  <si>
    <t>25-18-2017-516</t>
  </si>
  <si>
    <t>25-18-2017-517</t>
  </si>
  <si>
    <t>25-18-2017-808</t>
  </si>
  <si>
    <t>25-18-2017-514</t>
  </si>
  <si>
    <t>166 - 2019</t>
  </si>
  <si>
    <t>Prestar el servicio de Centro de Desarrollo Infantil -CDI-, de conformidad con el manual operativo de la modalidad Institucional y las directrices establecidas por el ICBF, en armonía con la política de estado para el desarrollo integral de la primera infancia De Cero a Siempre.</t>
  </si>
  <si>
    <t>11-1505-2020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</si>
  <si>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
  </si>
  <si>
    <t>25004872020</t>
  </si>
  <si>
    <t>prestar los servicios para la atencion a la primera infancia en los hogares comuntarios de bienestar  hcb y hogares comunitarios de bienestar agrupados, de conformidad con el manual operativo de la modalidad comunitaria familiar, el lineamiento tecnico para la atencion a la primera infancia y las directrices establecidas por el ICBF, en armonia con la politca de estado para el desarrollo in</t>
  </si>
  <si>
    <t>25004862020</t>
  </si>
  <si>
    <t>prestar los servicios para la atencion a la primera nfancia en los hogares comunitarios de bienestar hcb y hogares comunitarios de bienestar agrupados,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</si>
  <si>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25004892020</t>
  </si>
  <si>
    <t>prestar los servicios para la atencion a la primera infancia en los hogares comunitarios de bienestar hcb y hogares comunitarios de bienestar agrupados, de conformidad con el manual operativo d la modalidad comuniatria y el servicio hcb familia, mujer  e infancia FAMI, de conformidad con el manual operativo de la modalidad familiar, el lineamiento tecnico para la atencion a la primera infancia y las directrices establecidas por el icbf en armonia con la politica de estado para el desarrollo</t>
  </si>
  <si>
    <t>25004882020</t>
  </si>
  <si>
    <t xml:space="preserve">prestar los servicios para la atencion a la primera infancia en los hogares comunnitarios de bienestar hcb y hogares comunitarios de bienestar agrupados, de onformidad con el manual operativo de la modalidad comuniatria, el lineamineto tecnico para la atencion a la primera infancia y las directrices establecidas por el icbf, en armonia con la politica de estado para el desarrollo integral de la primera infancia de cero a siempre. </t>
  </si>
  <si>
    <t>176</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</si>
  <si>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</si>
  <si>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CARMEN JOSEFA BLANCO CASALINS</t>
  </si>
  <si>
    <t xml:space="preserve">Calle 34 # 43 - 109 oficina 611 </t>
  </si>
  <si>
    <t>comsds@gmail.com</t>
  </si>
  <si>
    <t>3163145539</t>
  </si>
  <si>
    <t>PRESTAR LOS SERVICIOS DE EDUCACION INICIAL EN EL MARCO DE LA AENCION INTEGRAL EN CENTROS DE DESARROLLO INFANTIL - CDI, DE CONFORMIDAD CON EL MANUAL OPERATIVO DE LA MODALIDAD INSTITUCIONAL , EL LINEAMIENTO TECNICO PARA LA ATENCION A LA PRIMERA INFANCIA Y LAS DIRECTRICES ESTABLECIDAS POR EL ICBF, EN ARMONIA CON LA POLITICA DE ESTADO PARA EL DESARROLLO INTEGRAL DE LA PRIMERA INFANCIA DE CERO A SIEMPRE</t>
  </si>
  <si>
    <t>2021-8-10000192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</si>
</sst>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8" zoomScale="85" zoomScaleNormal="85" zoomScaleSheetLayoutView="40" zoomScalePageLayoutView="40" workbookViewId="0">
      <selection activeCell="D124" sqref="D1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2653</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2721</v>
      </c>
      <c r="D15" s="35"/>
      <c r="E15" s="35"/>
      <c r="F15" s="5"/>
      <c r="G15" s="32" t="s">
        <v>1168</v>
      </c>
      <c r="H15" s="103"/>
      <c r="I15" s="32" t="s">
        <v>2624</v>
      </c>
      <c r="J15" s="108" t="s">
        <v>2626</v>
      </c>
      <c r="L15" s="225" t="s">
        <v>8</v>
      </c>
      <c r="M15" s="225"/>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802014237</v>
      </c>
      <c r="C20" s="5"/>
      <c r="D20" s="73"/>
      <c r="E20" s="5"/>
      <c r="F20" s="5"/>
      <c r="G20" s="5"/>
      <c r="H20" s="244"/>
      <c r="I20" s="149" t="s">
        <v>163</v>
      </c>
      <c r="J20" s="150" t="s">
        <v>172</v>
      </c>
      <c r="K20" s="151">
        <v>1019092170</v>
      </c>
      <c r="L20" s="152">
        <v>44197</v>
      </c>
      <c r="M20" s="152">
        <v>44561</v>
      </c>
      <c r="N20" s="135">
        <f>+(M20-L20)/30</f>
        <v>12.133333333333333</v>
      </c>
      <c r="O20" s="138"/>
      <c r="U20" s="134"/>
      <c r="V20" s="105">
        <f ca="1">NOW()</f>
        <v>44194.446357175926</v>
      </c>
      <c r="W20" s="105">
        <f ca="1">NOW()</f>
        <v>44194.446357175926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FUNDACION SANTO DOMINGO SAVIO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2720</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2654</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41314</v>
      </c>
      <c r="F48" s="145">
        <v>41851</v>
      </c>
      <c r="G48" s="160">
        <f>IF(AND(E48&lt;&gt;"",F48&lt;&gt;""),((F48-E48)/30),"")</f>
        <v>17.899999999999999</v>
      </c>
      <c r="H48" s="114" t="s">
        <v>2678</v>
      </c>
      <c r="I48" s="113" t="s">
        <v>163</v>
      </c>
      <c r="J48" s="113" t="s">
        <v>180</v>
      </c>
      <c r="K48" s="123">
        <v>593714104</v>
      </c>
      <c r="L48" s="115"/>
      <c r="M48" s="117"/>
      <c r="N48" s="115" t="s">
        <v>27</v>
      </c>
      <c r="O48" s="115" t="s">
        <v>26</v>
      </c>
      <c r="P48" s="78"/>
    </row>
    <row r="49" spans="1:16" s="6" customFormat="1" ht="24.75" customHeight="1" x14ac:dyDescent="0.25">
      <c r="A49" s="143">
        <v>2</v>
      </c>
      <c r="B49" s="111" t="s">
        <v>2676</v>
      </c>
      <c r="C49" s="112" t="s">
        <v>31</v>
      </c>
      <c r="D49" s="121" t="s">
        <v>2679</v>
      </c>
      <c r="E49" s="145">
        <v>41989</v>
      </c>
      <c r="F49" s="145">
        <v>42369</v>
      </c>
      <c r="G49" s="160">
        <f t="shared" ref="G49:G50" si="2">IF(AND(E49&lt;&gt;"",F49&lt;&gt;""),((F49-E49)/30),"")</f>
        <v>12.666666666666666</v>
      </c>
      <c r="H49" s="114" t="s">
        <v>2680</v>
      </c>
      <c r="I49" s="113" t="s">
        <v>163</v>
      </c>
      <c r="J49" s="113" t="s">
        <v>180</v>
      </c>
      <c r="K49" s="116">
        <v>1285075210</v>
      </c>
      <c r="L49" s="115"/>
      <c r="M49" s="117"/>
      <c r="N49" s="115" t="s">
        <v>27</v>
      </c>
      <c r="O49" s="115" t="s">
        <v>26</v>
      </c>
      <c r="P49" s="78"/>
    </row>
    <row r="50" spans="1:16" s="6" customFormat="1" ht="24.75" customHeight="1" x14ac:dyDescent="0.25">
      <c r="A50" s="143">
        <v>3</v>
      </c>
      <c r="B50" s="122" t="s">
        <v>2676</v>
      </c>
      <c r="C50" s="112" t="s">
        <v>31</v>
      </c>
      <c r="D50" s="110" t="s">
        <v>2681</v>
      </c>
      <c r="E50" s="145">
        <v>42401</v>
      </c>
      <c r="F50" s="145">
        <v>42719</v>
      </c>
      <c r="G50" s="160">
        <f t="shared" si="2"/>
        <v>10.6</v>
      </c>
      <c r="H50" s="119" t="s">
        <v>2682</v>
      </c>
      <c r="I50" s="113" t="s">
        <v>163</v>
      </c>
      <c r="J50" s="113" t="s">
        <v>180</v>
      </c>
      <c r="K50" s="123">
        <f>1071599415-453132-1309620+174774308</f>
        <v>1244610971</v>
      </c>
      <c r="L50" s="115"/>
      <c r="M50" s="117"/>
      <c r="N50" s="115" t="s">
        <v>27</v>
      </c>
      <c r="O50" s="115" t="s">
        <v>26</v>
      </c>
      <c r="P50" s="78"/>
    </row>
    <row r="51" spans="1:16" s="6" customFormat="1" ht="24.75" customHeight="1" outlineLevel="1" x14ac:dyDescent="0.25">
      <c r="A51" s="143">
        <v>4</v>
      </c>
      <c r="B51" s="111" t="s">
        <v>2676</v>
      </c>
      <c r="C51" s="112" t="s">
        <v>31</v>
      </c>
      <c r="D51" s="110" t="s">
        <v>2683</v>
      </c>
      <c r="E51" s="145">
        <v>42675</v>
      </c>
      <c r="F51" s="145">
        <v>42719</v>
      </c>
      <c r="G51" s="160">
        <f t="shared" ref="G51:G107" si="3">IF(AND(E51&lt;&gt;"",F51&lt;&gt;""),((F51-E51)/30),"")</f>
        <v>1.4666666666666666</v>
      </c>
      <c r="H51" s="122" t="s">
        <v>2684</v>
      </c>
      <c r="I51" s="113" t="s">
        <v>163</v>
      </c>
      <c r="J51" s="113" t="s">
        <v>180</v>
      </c>
      <c r="K51" s="118">
        <v>136083402</v>
      </c>
      <c r="L51" s="115"/>
      <c r="M51" s="117"/>
      <c r="N51" s="115" t="s">
        <v>27</v>
      </c>
      <c r="O51" s="115" t="s">
        <v>1148</v>
      </c>
      <c r="P51" s="78"/>
    </row>
    <row r="52" spans="1:16" s="7" customFormat="1" ht="24.75" customHeight="1" outlineLevel="1" x14ac:dyDescent="0.25">
      <c r="A52" s="144">
        <v>5</v>
      </c>
      <c r="B52" s="122" t="s">
        <v>2676</v>
      </c>
      <c r="C52" s="112" t="s">
        <v>31</v>
      </c>
      <c r="D52" s="110" t="s">
        <v>2685</v>
      </c>
      <c r="E52" s="145">
        <v>42720</v>
      </c>
      <c r="F52" s="145">
        <v>43084</v>
      </c>
      <c r="G52" s="160">
        <f t="shared" si="3"/>
        <v>12.133333333333333</v>
      </c>
      <c r="H52" s="119" t="s">
        <v>2686</v>
      </c>
      <c r="I52" s="113" t="s">
        <v>163</v>
      </c>
      <c r="J52" s="113" t="s">
        <v>180</v>
      </c>
      <c r="K52" s="118">
        <f>1191253501+179192258</f>
        <v>1370445759</v>
      </c>
      <c r="L52" s="115"/>
      <c r="M52" s="117"/>
      <c r="N52" s="115" t="s">
        <v>27</v>
      </c>
      <c r="O52" s="115" t="s">
        <v>2687</v>
      </c>
      <c r="P52" s="79"/>
    </row>
    <row r="53" spans="1:16" s="7" customFormat="1" ht="24.75" customHeight="1" outlineLevel="1" x14ac:dyDescent="0.25">
      <c r="A53" s="144">
        <v>6</v>
      </c>
      <c r="B53" s="122" t="s">
        <v>2676</v>
      </c>
      <c r="C53" s="112" t="s">
        <v>31</v>
      </c>
      <c r="D53" s="110" t="s">
        <v>2688</v>
      </c>
      <c r="E53" s="145">
        <v>43085</v>
      </c>
      <c r="F53" s="145">
        <v>43404</v>
      </c>
      <c r="G53" s="160">
        <f t="shared" si="3"/>
        <v>10.633333333333333</v>
      </c>
      <c r="H53" s="119" t="s">
        <v>2689</v>
      </c>
      <c r="I53" s="113" t="s">
        <v>163</v>
      </c>
      <c r="J53" s="113" t="s">
        <v>180</v>
      </c>
      <c r="K53" s="118">
        <f>880470661+386215966-8944368-27528062</f>
        <v>1230214197</v>
      </c>
      <c r="L53" s="115"/>
      <c r="M53" s="117"/>
      <c r="N53" s="115" t="s">
        <v>27</v>
      </c>
      <c r="O53" s="115" t="s">
        <v>26</v>
      </c>
      <c r="P53" s="79"/>
    </row>
    <row r="54" spans="1:16" s="7" customFormat="1" ht="24.75" customHeight="1" outlineLevel="1" x14ac:dyDescent="0.25">
      <c r="A54" s="144">
        <v>7</v>
      </c>
      <c r="B54" s="122" t="s">
        <v>2676</v>
      </c>
      <c r="C54" s="112" t="s">
        <v>31</v>
      </c>
      <c r="D54" s="110" t="s">
        <v>2690</v>
      </c>
      <c r="E54" s="145">
        <v>43405</v>
      </c>
      <c r="F54" s="145">
        <v>43439</v>
      </c>
      <c r="G54" s="160">
        <f t="shared" si="3"/>
        <v>1.1333333333333333</v>
      </c>
      <c r="H54" s="122" t="s">
        <v>2691</v>
      </c>
      <c r="I54" s="113" t="s">
        <v>163</v>
      </c>
      <c r="J54" s="113" t="s">
        <v>180</v>
      </c>
      <c r="K54" s="118">
        <f>130081600+13081928</f>
        <v>143163528</v>
      </c>
      <c r="L54" s="115"/>
      <c r="M54" s="117"/>
      <c r="N54" s="115" t="s">
        <v>27</v>
      </c>
      <c r="O54" s="115" t="s">
        <v>1148</v>
      </c>
      <c r="P54" s="79"/>
    </row>
    <row r="55" spans="1:16" s="7" customFormat="1" ht="24.75" customHeight="1" outlineLevel="1" x14ac:dyDescent="0.25">
      <c r="A55" s="144">
        <v>8</v>
      </c>
      <c r="B55" s="122" t="s">
        <v>2692</v>
      </c>
      <c r="C55" s="112" t="s">
        <v>31</v>
      </c>
      <c r="D55" s="121" t="s">
        <v>2693</v>
      </c>
      <c r="E55" s="145">
        <v>43080</v>
      </c>
      <c r="F55" s="145">
        <v>43404</v>
      </c>
      <c r="G55" s="160">
        <f t="shared" si="3"/>
        <v>10.8</v>
      </c>
      <c r="H55" s="122" t="s">
        <v>2694</v>
      </c>
      <c r="I55" s="113" t="s">
        <v>516</v>
      </c>
      <c r="J55" s="113" t="s">
        <v>595</v>
      </c>
      <c r="K55" s="123">
        <v>436716180</v>
      </c>
      <c r="L55" s="115"/>
      <c r="M55" s="117"/>
      <c r="N55" s="115" t="s">
        <v>27</v>
      </c>
      <c r="O55" s="115" t="s">
        <v>1148</v>
      </c>
      <c r="P55" s="79"/>
    </row>
    <row r="56" spans="1:16" s="7" customFormat="1" ht="24.75" customHeight="1" outlineLevel="1" x14ac:dyDescent="0.25">
      <c r="A56" s="144">
        <v>9</v>
      </c>
      <c r="B56" s="122" t="s">
        <v>2692</v>
      </c>
      <c r="C56" s="112" t="s">
        <v>31</v>
      </c>
      <c r="D56" s="121" t="s">
        <v>2695</v>
      </c>
      <c r="E56" s="145">
        <v>43080</v>
      </c>
      <c r="F56" s="145">
        <v>43404</v>
      </c>
      <c r="G56" s="160">
        <f t="shared" si="3"/>
        <v>10.8</v>
      </c>
      <c r="H56" s="122" t="s">
        <v>2696</v>
      </c>
      <c r="I56" s="113" t="s">
        <v>516</v>
      </c>
      <c r="J56" s="113" t="s">
        <v>547</v>
      </c>
      <c r="K56" s="123">
        <v>131157731</v>
      </c>
      <c r="L56" s="115"/>
      <c r="M56" s="117"/>
      <c r="N56" s="115" t="s">
        <v>27</v>
      </c>
      <c r="O56" s="115" t="s">
        <v>1148</v>
      </c>
      <c r="P56" s="79"/>
    </row>
    <row r="57" spans="1:16" s="7" customFormat="1" ht="24.75" customHeight="1" outlineLevel="1" x14ac:dyDescent="0.25">
      <c r="A57" s="144">
        <v>10</v>
      </c>
      <c r="B57" s="122" t="s">
        <v>2692</v>
      </c>
      <c r="C57" s="65" t="s">
        <v>31</v>
      </c>
      <c r="D57" s="121" t="s">
        <v>2697</v>
      </c>
      <c r="E57" s="145">
        <v>43080</v>
      </c>
      <c r="F57" s="145">
        <v>43404</v>
      </c>
      <c r="G57" s="160">
        <f t="shared" si="3"/>
        <v>10.8</v>
      </c>
      <c r="H57" s="122" t="s">
        <v>2696</v>
      </c>
      <c r="I57" s="63" t="s">
        <v>516</v>
      </c>
      <c r="J57" s="63" t="s">
        <v>547</v>
      </c>
      <c r="K57" s="123">
        <v>395131614</v>
      </c>
      <c r="L57" s="65"/>
      <c r="M57" s="67"/>
      <c r="N57" s="65" t="s">
        <v>27</v>
      </c>
      <c r="O57" s="65" t="s">
        <v>1148</v>
      </c>
      <c r="P57" s="79"/>
    </row>
    <row r="58" spans="1:16" s="7" customFormat="1" ht="24.75" customHeight="1" outlineLevel="1" x14ac:dyDescent="0.25">
      <c r="A58" s="144">
        <v>11</v>
      </c>
      <c r="B58" s="122" t="s">
        <v>2692</v>
      </c>
      <c r="C58" s="65" t="s">
        <v>31</v>
      </c>
      <c r="D58" s="121" t="s">
        <v>2698</v>
      </c>
      <c r="E58" s="145">
        <v>43404</v>
      </c>
      <c r="F58" s="145">
        <v>43441</v>
      </c>
      <c r="G58" s="160">
        <f t="shared" si="3"/>
        <v>1.2333333333333334</v>
      </c>
      <c r="H58" s="122" t="s">
        <v>2696</v>
      </c>
      <c r="I58" s="63" t="s">
        <v>516</v>
      </c>
      <c r="J58" s="63" t="s">
        <v>547</v>
      </c>
      <c r="K58" s="123">
        <v>15105426</v>
      </c>
      <c r="L58" s="65"/>
      <c r="M58" s="67"/>
      <c r="N58" s="65" t="s">
        <v>27</v>
      </c>
      <c r="O58" s="65" t="s">
        <v>1148</v>
      </c>
      <c r="P58" s="79"/>
    </row>
    <row r="59" spans="1:16" s="7" customFormat="1" ht="24.75" customHeight="1" outlineLevel="1" x14ac:dyDescent="0.25">
      <c r="A59" s="144">
        <v>12</v>
      </c>
      <c r="B59" s="122" t="s">
        <v>2692</v>
      </c>
      <c r="C59" s="65" t="s">
        <v>31</v>
      </c>
      <c r="D59" s="121" t="s">
        <v>2699</v>
      </c>
      <c r="E59" s="145">
        <v>43404</v>
      </c>
      <c r="F59" s="145">
        <v>43441</v>
      </c>
      <c r="G59" s="160">
        <f t="shared" si="3"/>
        <v>1.2333333333333334</v>
      </c>
      <c r="H59" s="122" t="s">
        <v>2696</v>
      </c>
      <c r="I59" s="63" t="s">
        <v>516</v>
      </c>
      <c r="J59" s="63" t="s">
        <v>547</v>
      </c>
      <c r="K59" s="123">
        <v>46521708</v>
      </c>
      <c r="L59" s="65"/>
      <c r="M59" s="67"/>
      <c r="N59" s="65" t="s">
        <v>27</v>
      </c>
      <c r="O59" s="65" t="s">
        <v>1148</v>
      </c>
      <c r="P59" s="79"/>
    </row>
    <row r="60" spans="1:16" s="7" customFormat="1" ht="24.75" customHeight="1" outlineLevel="1" x14ac:dyDescent="0.25">
      <c r="A60" s="144">
        <v>13</v>
      </c>
      <c r="B60" s="122" t="s">
        <v>2692</v>
      </c>
      <c r="C60" s="65" t="s">
        <v>31</v>
      </c>
      <c r="D60" s="121" t="s">
        <v>2700</v>
      </c>
      <c r="E60" s="145">
        <v>43080</v>
      </c>
      <c r="F60" s="145">
        <v>43404</v>
      </c>
      <c r="G60" s="160">
        <f t="shared" si="3"/>
        <v>10.8</v>
      </c>
      <c r="H60" s="122" t="s">
        <v>2694</v>
      </c>
      <c r="I60" s="63" t="s">
        <v>516</v>
      </c>
      <c r="J60" s="63" t="s">
        <v>552</v>
      </c>
      <c r="K60" s="123">
        <f>1043562127+497629941</f>
        <v>1541192068</v>
      </c>
      <c r="L60" s="65"/>
      <c r="M60" s="67"/>
      <c r="N60" s="65" t="s">
        <v>2634</v>
      </c>
      <c r="O60" s="65" t="s">
        <v>1148</v>
      </c>
      <c r="P60" s="79"/>
    </row>
    <row r="61" spans="1:16" s="7" customFormat="1" ht="24.75" customHeight="1" outlineLevel="1" x14ac:dyDescent="0.25">
      <c r="A61" s="144">
        <v>14</v>
      </c>
      <c r="B61" s="122" t="s">
        <v>2692</v>
      </c>
      <c r="C61" s="65" t="s">
        <v>31</v>
      </c>
      <c r="D61" s="121" t="s">
        <v>2701</v>
      </c>
      <c r="E61" s="145">
        <v>43405</v>
      </c>
      <c r="F61" s="145">
        <v>43434</v>
      </c>
      <c r="G61" s="160">
        <f t="shared" si="3"/>
        <v>0.96666666666666667</v>
      </c>
      <c r="H61" s="122" t="s">
        <v>2694</v>
      </c>
      <c r="I61" s="63" t="s">
        <v>516</v>
      </c>
      <c r="J61" s="63" t="s">
        <v>552</v>
      </c>
      <c r="K61" s="123">
        <v>168035050</v>
      </c>
      <c r="L61" s="65"/>
      <c r="M61" s="67"/>
      <c r="N61" s="65" t="s">
        <v>2634</v>
      </c>
      <c r="O61" s="65" t="s">
        <v>1148</v>
      </c>
      <c r="P61" s="79"/>
    </row>
    <row r="62" spans="1:16" s="7" customFormat="1" ht="24.75" customHeight="1" outlineLevel="1" x14ac:dyDescent="0.25">
      <c r="A62" s="144">
        <v>15</v>
      </c>
      <c r="B62" s="122" t="s">
        <v>2676</v>
      </c>
      <c r="C62" s="65" t="s">
        <v>31</v>
      </c>
      <c r="D62" s="121" t="s">
        <v>2702</v>
      </c>
      <c r="E62" s="145">
        <v>43484</v>
      </c>
      <c r="F62" s="145">
        <v>43822</v>
      </c>
      <c r="G62" s="160">
        <f t="shared" si="3"/>
        <v>11.266666666666667</v>
      </c>
      <c r="H62" s="122" t="s">
        <v>2703</v>
      </c>
      <c r="I62" s="63" t="s">
        <v>163</v>
      </c>
      <c r="J62" s="63" t="s">
        <v>180</v>
      </c>
      <c r="K62" s="123">
        <v>836552897</v>
      </c>
      <c r="L62" s="65"/>
      <c r="M62" s="67"/>
      <c r="N62" s="65" t="s">
        <v>27</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2655</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2704</v>
      </c>
      <c r="E114" s="145">
        <v>44167</v>
      </c>
      <c r="F114" s="145">
        <v>44773</v>
      </c>
      <c r="G114" s="160">
        <f>IF(AND(E114&lt;&gt;"",F114&lt;&gt;""),((F114-E114)/30),"")</f>
        <v>20.2</v>
      </c>
      <c r="H114" s="122" t="s">
        <v>2705</v>
      </c>
      <c r="I114" s="121" t="s">
        <v>1156</v>
      </c>
      <c r="J114" s="121" t="s">
        <v>188</v>
      </c>
      <c r="K114" s="68">
        <v>6508969479</v>
      </c>
      <c r="L114" s="100">
        <f>+IF(AND(K114&gt;0,O114="Ejecución"),(K114/877802)*Tabla28[[#This Row],[% participación]],IF(AND(K114&gt;0,O114&lt;&gt;"Ejecución"),"-",""))</f>
        <v>3707.5385331771859</v>
      </c>
      <c r="M114" s="124" t="s">
        <v>26</v>
      </c>
      <c r="N114" s="173">
        <v>0.5</v>
      </c>
      <c r="O114" s="162" t="s">
        <v>1150</v>
      </c>
      <c r="P114" s="78"/>
    </row>
    <row r="115" spans="1:16" s="6" customFormat="1" ht="24.75" customHeight="1" x14ac:dyDescent="0.25">
      <c r="A115" s="143">
        <v>2</v>
      </c>
      <c r="B115" s="161" t="s">
        <v>2664</v>
      </c>
      <c r="C115" s="163" t="s">
        <v>31</v>
      </c>
      <c r="D115" s="63" t="s">
        <v>2706</v>
      </c>
      <c r="E115" s="145">
        <v>44176</v>
      </c>
      <c r="F115" s="145">
        <v>44773</v>
      </c>
      <c r="G115" s="160">
        <f t="shared" ref="G115:G116" si="4">IF(AND(E115&lt;&gt;"",F115&lt;&gt;""),((F115-E115)/30),"")</f>
        <v>19.899999999999999</v>
      </c>
      <c r="H115" s="64" t="s">
        <v>2707</v>
      </c>
      <c r="I115" s="63" t="s">
        <v>516</v>
      </c>
      <c r="J115" s="63" t="s">
        <v>547</v>
      </c>
      <c r="K115" s="68">
        <v>4334621514</v>
      </c>
      <c r="L115" s="100">
        <f>+IF(AND(K115&gt;0,O115="Ejecución"),(K115/877802)*Tabla28[[#This Row],[% participación]],IF(AND(K115&gt;0,O115&lt;&gt;"Ejecución"),"-",""))</f>
        <v>2469.020071724603</v>
      </c>
      <c r="M115" s="65" t="s">
        <v>26</v>
      </c>
      <c r="N115" s="173">
        <v>0.5</v>
      </c>
      <c r="O115" s="162" t="s">
        <v>1150</v>
      </c>
      <c r="P115" s="78"/>
    </row>
    <row r="116" spans="1:16" s="6" customFormat="1" ht="24.75" customHeight="1" x14ac:dyDescent="0.25">
      <c r="A116" s="143">
        <v>3</v>
      </c>
      <c r="B116" s="161" t="s">
        <v>2664</v>
      </c>
      <c r="C116" s="163" t="s">
        <v>31</v>
      </c>
      <c r="D116" s="63" t="s">
        <v>2708</v>
      </c>
      <c r="E116" s="145">
        <v>44176</v>
      </c>
      <c r="F116" s="145">
        <v>44773</v>
      </c>
      <c r="G116" s="160">
        <f t="shared" si="4"/>
        <v>19.899999999999999</v>
      </c>
      <c r="H116" s="64" t="s">
        <v>2709</v>
      </c>
      <c r="I116" s="63" t="s">
        <v>516</v>
      </c>
      <c r="J116" s="63" t="s">
        <v>530</v>
      </c>
      <c r="K116" s="68">
        <v>2681458313</v>
      </c>
      <c r="L116" s="100">
        <f>+IF(AND(K116&gt;0,O116="Ejecución"),(K116/877802)*Tabla28[[#This Row],[% participación]],IF(AND(K116&gt;0,O116&lt;&gt;"Ejecución"),"-",""))</f>
        <v>1527.3708154002838</v>
      </c>
      <c r="M116" s="65" t="s">
        <v>26</v>
      </c>
      <c r="N116" s="173">
        <v>0.5</v>
      </c>
      <c r="O116" s="162" t="s">
        <v>1150</v>
      </c>
      <c r="P116" s="78"/>
    </row>
    <row r="117" spans="1:16" s="6" customFormat="1" ht="24.75" customHeight="1" outlineLevel="1" x14ac:dyDescent="0.25">
      <c r="A117" s="143">
        <v>4</v>
      </c>
      <c r="B117" s="161" t="s">
        <v>2664</v>
      </c>
      <c r="C117" s="163" t="s">
        <v>31</v>
      </c>
      <c r="D117" s="63" t="s">
        <v>2710</v>
      </c>
      <c r="E117" s="145">
        <v>44179</v>
      </c>
      <c r="F117" s="145">
        <v>44773</v>
      </c>
      <c r="G117" s="160">
        <f t="shared" ref="G117:G159" si="5">IF(AND(E117&lt;&gt;"",F117&lt;&gt;""),((F117-E117)/30),"")</f>
        <v>19.8</v>
      </c>
      <c r="H117" s="64" t="s">
        <v>2711</v>
      </c>
      <c r="I117" s="63" t="s">
        <v>516</v>
      </c>
      <c r="J117" s="63" t="s">
        <v>564</v>
      </c>
      <c r="K117" s="68">
        <v>3244429372</v>
      </c>
      <c r="L117" s="100">
        <f>+IF(AND(K117&gt;0,O117="Ejecución"),(K117/877802)*Tabla28[[#This Row],[% participación]],IF(AND(K117&gt;0,O117&lt;&gt;"Ejecución"),"-",""))</f>
        <v>1848.0416836598686</v>
      </c>
      <c r="M117" s="65" t="s">
        <v>26</v>
      </c>
      <c r="N117" s="173">
        <v>0.5</v>
      </c>
      <c r="O117" s="162" t="s">
        <v>1150</v>
      </c>
      <c r="P117" s="78"/>
    </row>
    <row r="118" spans="1:16" s="7" customFormat="1" ht="24.75" customHeight="1" outlineLevel="1" x14ac:dyDescent="0.25">
      <c r="A118" s="144">
        <v>5</v>
      </c>
      <c r="B118" s="161" t="s">
        <v>2664</v>
      </c>
      <c r="C118" s="163" t="s">
        <v>31</v>
      </c>
      <c r="D118" s="63" t="s">
        <v>2712</v>
      </c>
      <c r="E118" s="145">
        <v>44176</v>
      </c>
      <c r="F118" s="145">
        <v>44773</v>
      </c>
      <c r="G118" s="160">
        <f t="shared" si="5"/>
        <v>19.899999999999999</v>
      </c>
      <c r="H118" s="64" t="s">
        <v>2713</v>
      </c>
      <c r="I118" s="63" t="s">
        <v>516</v>
      </c>
      <c r="J118" s="63" t="s">
        <v>592</v>
      </c>
      <c r="K118" s="68">
        <v>163697948</v>
      </c>
      <c r="L118" s="100">
        <f>+IF(AND(K118&gt;0,O118="Ejecución"),(K118/877802)*Tabla28[[#This Row],[% participación]],IF(AND(K118&gt;0,O118&lt;&gt;"Ejecución"),"-",""))</f>
        <v>93.243093545013565</v>
      </c>
      <c r="M118" s="65" t="s">
        <v>26</v>
      </c>
      <c r="N118" s="173">
        <v>0.5</v>
      </c>
      <c r="O118" s="162" t="s">
        <v>1150</v>
      </c>
      <c r="P118" s="79"/>
    </row>
    <row r="119" spans="1:16" s="7" customFormat="1" ht="24.75" customHeight="1" outlineLevel="1" x14ac:dyDescent="0.25">
      <c r="A119" s="144">
        <v>6</v>
      </c>
      <c r="B119" s="161" t="s">
        <v>2664</v>
      </c>
      <c r="C119" s="163" t="s">
        <v>31</v>
      </c>
      <c r="D119" s="63" t="s">
        <v>2714</v>
      </c>
      <c r="E119" s="177">
        <v>43882</v>
      </c>
      <c r="F119" s="177">
        <v>44165</v>
      </c>
      <c r="G119" s="160">
        <f t="shared" si="5"/>
        <v>9.4333333333333336</v>
      </c>
      <c r="H119" s="122" t="s">
        <v>2715</v>
      </c>
      <c r="I119" s="63" t="s">
        <v>163</v>
      </c>
      <c r="J119" s="63" t="s">
        <v>180</v>
      </c>
      <c r="K119" s="68">
        <v>885810156</v>
      </c>
      <c r="L119" s="100">
        <f>+IF(AND(K119&gt;0,O119="Ejecución"),(K119/877802)*Tabla28[[#This Row],[% participación]],IF(AND(K119&gt;0,O119&lt;&gt;"Ejecución"),"-",""))</f>
        <v>1009.1229639485898</v>
      </c>
      <c r="M119" s="65" t="s">
        <v>1148</v>
      </c>
      <c r="N119" s="173">
        <f t="shared" ref="N119:N160" si="6">+IF(M119="No",1,IF(M119="Si","Ingrese %",""))</f>
        <v>1</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2659</v>
      </c>
      <c r="B163" s="209"/>
      <c r="C163" s="209"/>
      <c r="D163" s="209"/>
      <c r="E163" s="210"/>
      <c r="F163" s="211" t="s">
        <v>2660</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2687</v>
      </c>
      <c r="E167" s="8"/>
      <c r="F167" s="5"/>
      <c r="G167" s="107" t="s">
        <v>26</v>
      </c>
      <c r="I167" s="216" t="s">
        <v>2643</v>
      </c>
      <c r="J167" s="217"/>
      <c r="K167" s="217"/>
      <c r="L167" s="217"/>
      <c r="M167" s="217"/>
      <c r="N167" s="217"/>
      <c r="O167" s="218"/>
      <c r="U167" s="51"/>
    </row>
    <row r="168" spans="1:28" x14ac:dyDescent="0.25">
      <c r="A168" s="9"/>
      <c r="B168" s="235" t="s">
        <v>2657</v>
      </c>
      <c r="C168" s="235"/>
      <c r="D168" s="235"/>
      <c r="E168" s="8"/>
      <c r="F168" s="5"/>
      <c r="H168" s="81" t="s">
        <v>2656</v>
      </c>
      <c r="I168" s="216"/>
      <c r="J168" s="217"/>
      <c r="K168" s="217"/>
      <c r="L168" s="217"/>
      <c r="M168" s="217"/>
      <c r="N168" s="217"/>
      <c r="O168" s="21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2667</v>
      </c>
      <c r="B172" s="206"/>
      <c r="C172" s="206"/>
      <c r="D172" s="206"/>
      <c r="E172" s="206"/>
      <c r="F172" s="206"/>
      <c r="G172" s="206"/>
      <c r="H172" s="206"/>
      <c r="I172" s="206"/>
      <c r="J172" s="206"/>
      <c r="K172" s="206"/>
      <c r="L172" s="206"/>
      <c r="M172" s="206"/>
      <c r="N172" s="206"/>
      <c r="O172" s="207"/>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2668</v>
      </c>
      <c r="C176" s="226"/>
      <c r="D176" s="226"/>
      <c r="E176" s="226"/>
      <c r="F176" s="226"/>
      <c r="G176" s="226"/>
      <c r="H176" s="20"/>
      <c r="I176" s="179" t="s">
        <v>2674</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2671</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2668</v>
      </c>
      <c r="C179" s="192"/>
      <c r="D179" s="192"/>
      <c r="E179" s="171">
        <v>0.02</v>
      </c>
      <c r="F179" s="170">
        <v>0.01</v>
      </c>
      <c r="G179" s="165">
        <f>IF(F179&gt;0,SUM(E179+F179),"")</f>
        <v>0.03</v>
      </c>
      <c r="H179" s="5"/>
      <c r="I179" s="192" t="s">
        <v>2670</v>
      </c>
      <c r="J179" s="192"/>
      <c r="K179" s="192"/>
      <c r="L179" s="192"/>
      <c r="M179" s="172">
        <v>0.02</v>
      </c>
      <c r="O179" s="8"/>
      <c r="Q179" s="19"/>
      <c r="R179" s="159">
        <f>IF(M179&gt;0,SUM(L179+M179),"")</f>
        <v>0.02</v>
      </c>
      <c r="T179" s="19"/>
      <c r="U179" s="238" t="s">
        <v>1166</v>
      </c>
      <c r="V179" s="238"/>
      <c r="W179" s="238"/>
      <c r="X179" s="24">
        <v>0.02</v>
      </c>
      <c r="Y179" s="164"/>
      <c r="Z179" s="165" t="str">
        <f>IF(Y179&gt;0,SUM(E181+Y179),"")</f>
        <v/>
      </c>
      <c r="AA179" s="19"/>
      <c r="AB179" s="19"/>
    </row>
    <row r="180" spans="1:28" ht="23.25" hidden="1" x14ac:dyDescent="0.25">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25" hidden="1" x14ac:dyDescent="0.25">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30572765.099999998</v>
      </c>
      <c r="F185" s="92"/>
      <c r="G185" s="93"/>
      <c r="H185" s="88"/>
      <c r="I185" s="90" t="s">
        <v>2627</v>
      </c>
      <c r="J185" s="166">
        <f>+SUM(M179:M183)</f>
        <v>0.02</v>
      </c>
      <c r="K185" s="237" t="s">
        <v>2628</v>
      </c>
      <c r="L185" s="237"/>
      <c r="M185" s="94">
        <f>+J185*(SUM(K20:K35))</f>
        <v>20381843.400000002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41964</v>
      </c>
      <c r="D193" s="5"/>
      <c r="E193" s="126">
        <v>1919</v>
      </c>
      <c r="F193" s="5"/>
      <c r="G193" s="5"/>
      <c r="H193" s="147" t="s">
        <v>2716</v>
      </c>
      <c r="J193" s="5"/>
      <c r="K193" s="127">
        <v>41989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2658</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2717</v>
      </c>
      <c r="J211" s="27" t="s">
        <v>2622</v>
      </c>
      <c r="K211" s="148" t="s">
        <v>2717</v>
      </c>
      <c r="L211" s="21"/>
      <c r="M211" s="21"/>
      <c r="N211" s="21"/>
      <c r="O211" s="8"/>
    </row>
    <row r="212" spans="1:15" x14ac:dyDescent="0.25">
      <c r="A212" s="9"/>
      <c r="B212" s="27" t="s">
        <v>2619</v>
      </c>
      <c r="C212" s="147" t="s">
        <v>2716</v>
      </c>
      <c r="D212" s="21"/>
      <c r="G212" s="27" t="s">
        <v>2621</v>
      </c>
      <c r="H212" s="148" t="s">
        <v>2719</v>
      </c>
      <c r="J212" s="27" t="s">
        <v>2623</v>
      </c>
      <c r="K212" s="147"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microsoft.com/office/infopath/2007/PartnerControl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2020-12-29T15:43:15Z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