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OFERENTE 2020 DICIEMBRE\TESO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510" windowWidth="20730" windowHeight="11160" tabRatio="222"/>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2" l="1"/>
  <c r="K56" i="12"/>
  <c r="K55" i="12"/>
  <c r="K5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<sst xmlns="http://schemas.openxmlformats.org/spreadsheetml/2006/main" count="3143" uniqueCount="2699">
  <si>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</si>
  <si>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</si>
  <si>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</si>
  <si>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</si>
  <si>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</si>
  <si>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</si>
  <si>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</si>
  <si>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</si>
  <si>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</si>
  <si>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</si>
  <si>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</si>
  <si>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</si>
  <si>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</si>
  <si>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</si>
  <si>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</si>
  <si>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</si>
  <si>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</si>
  <si>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</si>
  <si>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</si>
  <si>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</si>
  <si>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</si>
  <si>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</si>
  <si>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</si>
  <si>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</si>
  <si>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</si>
  <si>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</si>
  <si>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</si>
  <si>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</si>
  <si>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</si>
  <si>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</si>
  <si>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</si>
  <si>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</si>
  <si>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</si>
  <si>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</si>
  <si>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</si>
  <si>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</si>
  <si>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</si>
  <si>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</si>
  <si>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</si>
  <si>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</si>
  <si>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</si>
  <si>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</si>
  <si>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</si>
  <si>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</si>
  <si>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</si>
  <si>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</si>
  <si>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</si>
  <si>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</si>
  <si>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</si>
  <si>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</si>
  <si>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</si>
  <si>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</si>
  <si>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</si>
  <si>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</si>
  <si>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</si>
  <si>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</si>
  <si>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</si>
  <si>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</si>
  <si>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</si>
  <si>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</si>
  <si>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</si>
  <si>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</si>
  <si>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</si>
  <si>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</si>
  <si>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</si>
  <si>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</si>
  <si>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</si>
  <si>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</si>
  <si>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</si>
  <si>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</si>
  <si>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</si>
  <si>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</si>
  <si>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</si>
  <si>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</si>
  <si>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</si>
  <si>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</si>
  <si>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</si>
  <si>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</si>
  <si>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</si>
  <si>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</si>
  <si>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</si>
  <si>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</si>
  <si>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</si>
  <si>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</si>
  <si>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</si>
  <si>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</si>
  <si>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</si>
  <si>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</si>
  <si>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</si>
  <si>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</si>
  <si>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</si>
  <si>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</si>
  <si>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</si>
  <si>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</si>
  <si>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</si>
  <si>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</si>
  <si>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</si>
  <si>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</si>
  <si>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</si>
  <si>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</si>
  <si>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</si>
  <si>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</si>
  <si>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</si>
  <si>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</si>
  <si>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</si>
  <si>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</si>
  <si>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</si>
  <si>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</si>
  <si>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</si>
  <si>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</si>
  <si>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</si>
  <si>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</si>
  <si>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</si>
  <si>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</si>
  <si>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</si>
  <si>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</si>
  <si>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</si>
  <si>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</si>
  <si>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</si>
  <si>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</si>
  <si>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</si>
  <si>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</si>
  <si>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</si>
  <si>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</si>
  <si>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</si>
  <si>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</si>
  <si>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</si>
  <si>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</si>
  <si>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</si>
  <si>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</si>
  <si>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</si>
  <si>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</si>
  <si>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</si>
  <si>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</si>
  <si>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</si>
  <si>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</si>
  <si>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</si>
  <si>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</si>
  <si>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</si>
  <si>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</si>
  <si>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</si>
  <si>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</si>
  <si>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</si>
  <si>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</si>
  <si>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</si>
  <si>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</si>
  <si>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</si>
  <si>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</si>
  <si>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</si>
  <si>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</si>
  <si>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</si>
  <si>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</si>
  <si>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</si>
  <si>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</si>
  <si>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</si>
  <si>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</si>
  <si>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</si>
  <si>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</si>
  <si>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</si>
  <si>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</si>
  <si>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</si>
  <si>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</si>
  <si>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</si>
  <si>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</si>
  <si>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</si>
  <si>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</si>
  <si>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</si>
  <si>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</si>
  <si>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</si>
  <si>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</si>
  <si>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</si>
  <si>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</si>
  <si>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</si>
  <si>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</si>
  <si>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</si>
  <si>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</si>
  <si>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</si>
  <si>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</si>
  <si>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</si>
  <si>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</si>
  <si>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</si>
  <si>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</si>
  <si>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</si>
  <si>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</si>
  <si>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</si>
  <si>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</si>
  <si>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</si>
  <si>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</si>
  <si>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</si>
  <si>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</si>
  <si>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</si>
  <si>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</si>
  <si>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</si>
  <si>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</si>
  <si>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</si>
  <si>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</si>
  <si>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</si>
  <si>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</si>
  <si>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</si>
  <si>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</si>
  <si>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</si>
  <si>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</si>
  <si>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</si>
  <si>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</si>
  <si>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</si>
  <si>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</si>
  <si>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</si>
  <si>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</si>
  <si>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</si>
  <si>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</si>
  <si>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</si>
  <si>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</si>
  <si>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</si>
  <si>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</si>
  <si>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</si>
  <si>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</si>
  <si>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</si>
  <si>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</si>
  <si>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</si>
  <si>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</si>
  <si>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</si>
  <si>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</si>
  <si>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</si>
  <si>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</si>
  <si>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</si>
  <si>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</si>
  <si>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</si>
  <si>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</si>
  <si>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</si>
  <si>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</si>
  <si>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</si>
  <si>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</si>
  <si>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</si>
  <si>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</si>
  <si>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</si>
  <si>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</si>
  <si>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</si>
  <si>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</si>
  <si>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</si>
  <si>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</si>
  <si>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</si>
  <si>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</si>
  <si>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</si>
  <si>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</si>
  <si>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</si>
  <si>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</si>
  <si>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</si>
  <si>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</si>
  <si>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</si>
  <si>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</si>
  <si>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</si>
  <si>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</si>
  <si>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</si>
  <si>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</si>
  <si>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</si>
  <si>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</si>
  <si>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</si>
  <si>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</si>
  <si>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</si>
  <si>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</si>
  <si>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</si>
  <si>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</si>
  <si>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</si>
  <si>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</si>
  <si>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</si>
  <si>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</si>
  <si>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</si>
  <si>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</si>
  <si>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</si>
  <si>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</si>
  <si>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</si>
  <si>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</si>
  <si>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</si>
  <si>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</si>
  <si>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</si>
  <si>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</si>
  <si>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</si>
  <si>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</si>
  <si>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</si>
  <si>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</si>
  <si>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</si>
  <si>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</si>
  <si>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</si>
  <si>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</si>
  <si>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</si>
  <si>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</si>
  <si>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</si>
  <si>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</si>
  <si>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</si>
  <si>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</si>
  <si>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</si>
  <si>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</si>
  <si>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</si>
  <si>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</si>
  <si>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</si>
  <si>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</si>
  <si>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</si>
  <si>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</si>
  <si>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</si>
  <si>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</si>
  <si>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</si>
  <si>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</si>
  <si>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</si>
  <si>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</si>
  <si>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</si>
  <si>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</si>
  <si>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</si>
  <si>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</si>
  <si>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</si>
  <si>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</si>
  <si>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</si>
  <si>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</si>
  <si>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</si>
  <si>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</si>
  <si>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</si>
  <si>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</si>
  <si>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</si>
  <si>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</si>
  <si>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</si>
  <si>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</si>
  <si>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</si>
  <si>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</si>
  <si>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</si>
  <si>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</si>
  <si>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</si>
  <si>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</si>
  <si>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</si>
  <si>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</si>
  <si>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</si>
  <si>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</si>
  <si>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</si>
  <si>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</si>
  <si>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</si>
  <si>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</si>
  <si>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</si>
  <si>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</si>
  <si>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</si>
  <si>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</si>
  <si>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</si>
  <si>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</si>
  <si>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</si>
  <si>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</si>
  <si>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</si>
  <si>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</si>
  <si>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</si>
  <si>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</si>
  <si>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</si>
  <si>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</si>
  <si>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</si>
  <si>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</si>
  <si>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</si>
  <si>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</si>
  <si>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</si>
  <si>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</si>
  <si>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</si>
  <si>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</si>
  <si>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</si>
  <si>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</si>
  <si>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</si>
  <si>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</si>
  <si>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</si>
  <si>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</si>
  <si>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</si>
  <si>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</si>
  <si>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</si>
  <si>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</si>
  <si>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</si>
  <si>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</si>
  <si>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</si>
  <si>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</si>
  <si>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</si>
  <si>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</si>
  <si>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</si>
  <si>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</si>
  <si>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</si>
  <si>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</si>
  <si>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</si>
  <si>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</si>
  <si>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</si>
  <si>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</si>
  <si>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</si>
  <si>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</si>
  <si>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</si>
  <si>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</si>
  <si>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</si>
  <si>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</si>
  <si>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</si>
  <si>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</si>
  <si>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</si>
  <si>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</si>
  <si>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</si>
  <si>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</si>
  <si>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</si>
  <si>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</si>
  <si>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</si>
  <si>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</si>
  <si>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</si>
  <si>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</si>
  <si>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</si>
  <si>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</si>
  <si>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</si>
  <si>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</si>
  <si>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</si>
  <si>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</si>
  <si>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</si>
  <si>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</si>
  <si>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</si>
  <si>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</si>
  <si>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</si>
  <si>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</si>
  <si>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</si>
  <si>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</si>
  <si>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</si>
  <si>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</si>
  <si>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</si>
  <si>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</si>
  <si>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</si>
  <si>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</si>
  <si>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</si>
  <si>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</si>
  <si>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</si>
  <si>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</si>
  <si>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</si>
  <si>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</si>
  <si>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</si>
  <si>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</si>
  <si>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</si>
  <si>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</si>
  <si>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</si>
  <si>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</si>
  <si>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</si>
  <si>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</si>
  <si>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</si>
  <si>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</si>
  <si>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</si>
  <si>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</si>
  <si>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</si>
  <si>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</si>
  <si>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</si>
  <si>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</si>
  <si>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</si>
  <si>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</si>
  <si>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</si>
  <si>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</si>
  <si>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</si>
  <si>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</si>
  <si>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</si>
  <si>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</si>
  <si>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</si>
  <si>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</si>
  <si>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</si>
  <si>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</si>
  <si>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</si>
  <si>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</si>
  <si>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</si>
  <si>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</si>
  <si>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</si>
  <si>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</si>
  <si>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</si>
  <si>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</si>
  <si>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</si>
  <si>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</si>
  <si>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</si>
  <si>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</si>
  <si>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</si>
  <si>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</si>
  <si>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</si>
  <si>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</si>
  <si>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</si>
  <si>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</si>
  <si>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</si>
  <si>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</si>
  <si>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</si>
  <si>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</si>
  <si>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</si>
  <si>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</si>
  <si>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</si>
  <si>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</si>
  <si>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</si>
  <si>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</si>
  <si>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</si>
  <si>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</si>
  <si>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</si>
  <si>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</si>
  <si>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</si>
  <si>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</si>
  <si>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</si>
  <si>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</si>
  <si>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</si>
  <si>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</si>
  <si>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</si>
  <si>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</si>
  <si>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</si>
  <si>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</si>
  <si>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</si>
  <si>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</si>
  <si>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</si>
  <si>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</si>
  <si>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</si>
  <si>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</si>
  <si>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</si>
  <si>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</si>
  <si>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</si>
  <si>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</si>
  <si>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</si>
  <si>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</si>
  <si>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</si>
  <si>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</si>
  <si>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</si>
  <si>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</si>
  <si>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</si>
  <si>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</si>
  <si>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</si>
  <si>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</si>
  <si>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</si>
  <si>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</si>
  <si>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</si>
  <si>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</si>
  <si>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</si>
  <si>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</si>
  <si>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</si>
  <si>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</si>
  <si>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</si>
  <si>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</si>
  <si>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</si>
  <si>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</si>
  <si>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</si>
  <si>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</si>
  <si>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</si>
  <si>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</si>
  <si>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</si>
  <si>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</si>
  <si>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</si>
  <si>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</si>
  <si>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</si>
  <si>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</si>
  <si>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</si>
  <si>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</si>
  <si>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</si>
  <si>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</si>
  <si>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</si>
  <si>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</si>
  <si>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</si>
  <si>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</si>
  <si>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</si>
  <si>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</si>
  <si>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</si>
  <si>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</si>
  <si>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</si>
  <si>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</si>
  <si>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</si>
  <si>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</si>
  <si>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</si>
  <si>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</si>
  <si>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</si>
  <si>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</si>
  <si>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</si>
  <si>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</si>
  <si>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</si>
  <si>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</si>
  <si>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</si>
  <si>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</si>
  <si>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</si>
  <si>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</si>
  <si>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</si>
  <si>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</si>
  <si>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</si>
  <si>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</si>
  <si>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</si>
  <si>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</si>
  <si>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</si>
  <si>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</si>
  <si>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</si>
  <si>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</si>
  <si>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</si>
  <si>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</si>
  <si>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</si>
  <si>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</si>
  <si>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</si>
  <si>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</si>
  <si>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</si>
  <si>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</si>
  <si>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</si>
  <si>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</si>
  <si>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</si>
  <si>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</si>
  <si>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</si>
  <si>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</si>
  <si>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</si>
  <si>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</si>
  <si>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</si>
  <si>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</si>
  <si>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</si>
  <si>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</si>
  <si>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</si>
  <si>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</si>
  <si>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</si>
  <si>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</si>
  <si>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</si>
  <si>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</si>
  <si>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</si>
  <si>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</si>
  <si>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</si>
  <si>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</si>
  <si>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</si>
  <si>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</si>
  <si>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</si>
  <si>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</si>
  <si>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</si>
  <si>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</si>
  <si>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</si>
  <si>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</si>
  <si>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</si>
  <si>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</si>
  <si>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</si>
  <si>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</si>
  <si>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</si>
  <si>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</si>
  <si>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</si>
  <si>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</si>
  <si>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</si>
  <si>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</si>
  <si>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</si>
  <si>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</si>
  <si>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</si>
  <si>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</si>
  <si>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</si>
  <si>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</si>
  <si>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</si>
  <si>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</si>
  <si>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</si>
  <si>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</si>
  <si>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</si>
  <si>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</si>
  <si>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</si>
  <si>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</si>
  <si>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</si>
  <si>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</si>
  <si>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</si>
  <si>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</si>
  <si>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</si>
  <si>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</si>
  <si>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</si>
  <si>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</si>
  <si>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</si>
  <si>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</si>
  <si>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</si>
  <si>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</si>
  <si>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</si>
  <si>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</si>
  <si>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</si>
  <si>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</si>
  <si>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</si>
  <si>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</si>
  <si>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</si>
  <si>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</si>
  <si>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</si>
  <si>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</si>
  <si>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</si>
  <si>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</si>
  <si>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</si>
  <si>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</si>
  <si>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</si>
  <si>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</si>
  <si>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</si>
  <si>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</si>
  <si>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</si>
  <si>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</si>
  <si>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</si>
  <si>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</si>
  <si>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</si>
  <si>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</si>
  <si>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</si>
  <si>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</si>
  <si>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</si>
  <si>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</si>
  <si>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</si>
  <si>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</si>
  <si>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</si>
  <si>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</si>
  <si>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</si>
  <si>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</si>
  <si>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</si>
  <si>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</si>
  <si>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</si>
  <si>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</si>
  <si>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</si>
  <si>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</si>
  <si>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</si>
  <si>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</si>
  <si>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</si>
  <si>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</si>
  <si>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</si>
  <si>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</si>
  <si>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</si>
  <si>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</si>
  <si>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</si>
  <si>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</si>
  <si>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</si>
  <si>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</si>
  <si>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</si>
  <si>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</si>
  <si>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</si>
  <si>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</si>
  <si>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</si>
  <si>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</si>
  <si>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</si>
  <si>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</si>
  <si>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</si>
  <si>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</si>
  <si>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</si>
  <si>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</si>
  <si>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</si>
  <si>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</si>
  <si>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</si>
  <si>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</si>
  <si>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</si>
  <si>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</si>
  <si>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</si>
  <si>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</si>
  <si>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</si>
  <si>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</si>
  <si>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</si>
  <si>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</si>
  <si>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</si>
  <si>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</si>
  <si>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</si>
  <si>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</si>
  <si>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</si>
  <si>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</si>
  <si>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</si>
  <si>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</si>
  <si>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</si>
  <si>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</si>
  <si>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</si>
  <si>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</si>
  <si>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</si>
  <si>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</si>
  <si>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</si>
  <si>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</si>
  <si>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</si>
  <si>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</si>
  <si>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</si>
  <si>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</si>
  <si>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</si>
  <si>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</si>
  <si>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</si>
  <si>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</si>
  <si>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</si>
  <si>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</si>
  <si>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</si>
  <si>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</si>
  <si>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</si>
  <si>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</si>
  <si>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</si>
  <si>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</si>
  <si>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</si>
  <si>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</si>
  <si>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</si>
  <si>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</si>
  <si>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</si>
  <si>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</si>
  <si>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</si>
  <si>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</si>
  <si>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</si>
  <si>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</si>
  <si>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</si>
  <si>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</si>
  <si>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</si>
  <si>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</si>
  <si>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</si>
  <si>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</si>
  <si>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</si>
  <si>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</si>
  <si>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</si>
  <si>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</si>
  <si>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</si>
  <si>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</si>
  <si>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</si>
  <si>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</si>
  <si>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</si>
  <si>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</si>
  <si>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</si>
  <si>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</si>
  <si>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</si>
  <si>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</si>
  <si>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</si>
  <si>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</si>
  <si>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</si>
  <si>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</si>
  <si>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</si>
  <si>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</si>
  <si>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</si>
  <si>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</si>
  <si>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</si>
  <si>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</si>
  <si>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</si>
  <si>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</si>
  <si>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</si>
  <si>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</si>
  <si>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</si>
  <si>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</si>
  <si>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</si>
  <si>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</si>
  <si>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</si>
  <si>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</si>
  <si>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</si>
  <si>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</si>
  <si>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</si>
  <si>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</si>
  <si>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</si>
  <si>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</si>
  <si>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</si>
  <si>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</si>
  <si>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</si>
  <si>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</si>
  <si>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</si>
  <si>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</si>
  <si>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</si>
  <si>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</si>
  <si>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</si>
  <si>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</si>
  <si>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</si>
  <si>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</si>
  <si>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</si>
  <si>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</si>
  <si>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</si>
  <si>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</si>
  <si>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</si>
  <si>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</si>
  <si>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</si>
  <si>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</si>
  <si>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</si>
  <si>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</si>
  <si>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</si>
  <si>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</si>
  <si>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</si>
  <si>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</si>
  <si>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</si>
  <si>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</si>
  <si>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</si>
  <si>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</si>
  <si>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</si>
  <si>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</si>
  <si>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</si>
  <si>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</si>
  <si>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</si>
  <si>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</si>
  <si>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</si>
  <si>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</si>
  <si>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</si>
  <si>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</si>
  <si>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</si>
  <si>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</si>
  <si>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</si>
  <si>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</si>
  <si>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</si>
  <si>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</si>
  <si>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</si>
  <si>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</si>
  <si>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</si>
  <si>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</si>
  <si>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</si>
  <si>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</si>
  <si>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</si>
  <si>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</si>
  <si>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</si>
  <si>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</si>
  <si>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</si>
  <si>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</si>
  <si>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</si>
  <si>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</si>
  <si>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</si>
  <si>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</si>
  <si>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</si>
  <si>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</si>
  <si>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</si>
  <si>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</si>
  <si>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</si>
  <si>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</si>
  <si>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</si>
  <si>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</si>
  <si>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</si>
  <si>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</si>
  <si>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</si>
  <si>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</si>
  <si>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</si>
  <si>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</si>
  <si>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</si>
  <si>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</si>
  <si>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</si>
  <si>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</si>
  <si>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</si>
  <si>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</si>
  <si>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</si>
  <si>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</si>
  <si>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</si>
  <si>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</si>
  <si>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</si>
  <si>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</si>
  <si>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</si>
  <si>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</si>
  <si>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</si>
  <si>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</si>
  <si>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</si>
  <si>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</si>
  <si>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</si>
  <si>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</si>
  <si>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</si>
  <si>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</si>
  <si>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</si>
  <si>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</si>
  <si>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</si>
  <si>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</si>
  <si>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</si>
  <si>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</si>
  <si>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</si>
  <si>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</si>
  <si>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</si>
  <si>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</si>
  <si>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</si>
  <si>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</si>
  <si>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</si>
  <si>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</si>
  <si>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</si>
  <si>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</si>
  <si>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</si>
  <si>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</si>
  <si>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</si>
  <si>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</si>
  <si>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</si>
  <si>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</si>
  <si>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</si>
  <si>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</si>
  <si>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</si>
  <si>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</si>
  <si>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</si>
  <si>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</si>
  <si>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</si>
  <si>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</si>
  <si>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</si>
  <si>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</si>
  <si>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</si>
  <si>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</si>
  <si>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</si>
  <si>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</si>
  <si>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</si>
  <si>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</si>
  <si>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</si>
  <si>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</si>
  <si>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</si>
  <si>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</si>
  <si>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</si>
  <si>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</si>
  <si>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</si>
  <si>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</si>
  <si>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</si>
  <si>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</si>
  <si>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</si>
  <si>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</si>
  <si>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</si>
  <si>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</si>
  <si>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</si>
  <si>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</si>
  <si>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</si>
  <si>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</si>
  <si>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</si>
  <si>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</si>
  <si>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</si>
  <si>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</si>
  <si>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</si>
  <si>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</si>
  <si>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</si>
  <si>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</si>
  <si>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</si>
  <si>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</si>
  <si>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</si>
  <si>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</si>
  <si>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</si>
  <si>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</si>
  <si>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</si>
  <si>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</si>
  <si>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</si>
  <si>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</si>
  <si>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</si>
  <si>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</si>
  <si>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</si>
  <si>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</si>
  <si>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</si>
  <si>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</si>
  <si>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</si>
  <si>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</si>
  <si>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</si>
  <si>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</si>
  <si>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</si>
  <si>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</si>
  <si>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</si>
  <si>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</si>
  <si>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</si>
  <si>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</si>
  <si>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</si>
  <si>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</si>
  <si>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</si>
  <si>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</si>
  <si>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</si>
  <si>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</si>
  <si>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</si>
  <si>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</si>
  <si>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</si>
  <si>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</si>
  <si>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</si>
  <si>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</si>
  <si>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</si>
  <si>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</si>
  <si>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</si>
  <si>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</si>
  <si>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</si>
  <si>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</si>
  <si>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</si>
  <si>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</si>
  <si>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</si>
  <si>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</si>
  <si>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</si>
  <si>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</si>
  <si>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</si>
  <si>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</si>
  <si>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</si>
  <si>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</si>
  <si>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</si>
  <si>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</si>
  <si>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</si>
  <si>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</si>
  <si>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</si>
  <si>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</si>
  <si>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</si>
  <si>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</si>
  <si>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</si>
  <si>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</si>
  <si>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</si>
  <si>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</si>
  <si>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</si>
  <si>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</si>
  <si>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</si>
  <si>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</si>
  <si>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</si>
  <si>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</si>
  <si>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</si>
  <si>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</si>
  <si>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</si>
  <si>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</si>
  <si>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</si>
  <si>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</si>
  <si>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</si>
  <si>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</si>
  <si>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</si>
  <si>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</si>
  <si>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</si>
  <si>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</si>
  <si>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</si>
  <si>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</si>
  <si>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</si>
  <si>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</si>
  <si>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</si>
  <si>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</si>
  <si>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</si>
  <si>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</si>
  <si>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</si>
  <si>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</si>
  <si>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</si>
  <si>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</si>
  <si>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</si>
  <si>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</si>
  <si>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</si>
  <si>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</si>
  <si>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</si>
  <si>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</si>
  <si>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</si>
  <si>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</si>
  <si>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</si>
  <si>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</si>
  <si>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</si>
  <si>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</si>
  <si>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</si>
  <si>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</si>
  <si>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</si>
  <si>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</si>
  <si>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</si>
  <si>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</si>
  <si>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</si>
  <si>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</si>
  <si>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</si>
  <si>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</si>
  <si>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</si>
  <si>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</si>
  <si>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</si>
  <si>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</si>
  <si>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</si>
  <si>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</si>
  <si>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</si>
  <si>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</si>
  <si>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</si>
  <si>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</si>
  <si>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</si>
  <si>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</si>
  <si>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</si>
  <si>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</si>
  <si>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</si>
  <si>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</si>
  <si>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</si>
  <si>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</si>
  <si>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</si>
  <si>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</si>
  <si>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</si>
  <si>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</si>
  <si>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</si>
  <si>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</si>
  <si>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</si>
  <si>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</si>
  <si>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</si>
  <si>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</si>
  <si>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</si>
  <si>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</si>
  <si>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</si>
  <si>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</si>
  <si>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</si>
  <si>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</si>
  <si>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</si>
  <si>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</si>
  <si>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</si>
  <si>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</si>
  <si>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</si>
  <si>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</si>
  <si>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</si>
  <si>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</si>
  <si>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</si>
  <si>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</si>
  <si>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</si>
  <si>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</si>
  <si>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</si>
  <si>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</si>
  <si>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</si>
  <si>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</si>
  <si>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</si>
  <si>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</si>
  <si>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</si>
  <si>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</si>
  <si>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</si>
  <si>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</si>
  <si>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</si>
  <si>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</si>
  <si>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</si>
  <si>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</si>
  <si>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</si>
  <si>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</si>
  <si>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</si>
  <si>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</si>
  <si>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</si>
  <si>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</si>
  <si>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</si>
  <si>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</si>
  <si>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</si>
  <si>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</si>
  <si>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</si>
  <si>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</si>
  <si>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</si>
  <si>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</si>
  <si>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</si>
  <si>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</si>
  <si>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</si>
  <si>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</si>
  <si>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</si>
  <si>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</si>
  <si>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</si>
  <si>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</si>
  <si>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</si>
  <si>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</si>
  <si>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</si>
  <si>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</si>
  <si>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</si>
  <si>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</si>
  <si>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</si>
  <si>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</si>
  <si>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</si>
  <si>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</si>
  <si>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</si>
  <si>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</si>
  <si>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</si>
  <si>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</si>
  <si>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</si>
  <si>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</si>
  <si>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</si>
  <si>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</si>
  <si>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</si>
  <si>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</si>
  <si>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</si>
  <si>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</si>
  <si>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</si>
  <si>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</si>
  <si>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</si>
  <si>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</si>
  <si>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</si>
  <si>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</si>
  <si>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</si>
  <si>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</si>
  <si>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</si>
  <si>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</si>
  <si>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</si>
  <si>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</si>
  <si>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</si>
  <si>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</si>
  <si>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</si>
  <si>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</si>
  <si>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</si>
  <si>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</si>
  <si>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</si>
  <si>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</si>
  <si>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</si>
  <si>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</si>
  <si>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</si>
  <si>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</si>
  <si>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</si>
  <si>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</si>
  <si>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</si>
  <si>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</si>
  <si>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</si>
  <si>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</si>
  <si>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</si>
  <si>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</si>
  <si>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</si>
  <si>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</si>
  <si>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</si>
  <si>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</si>
  <si>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</si>
  <si>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</si>
  <si>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</si>
  <si>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</si>
  <si>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</si>
  <si>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</si>
  <si>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</si>
  <si>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</si>
  <si>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</si>
  <si>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</si>
  <si>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</si>
  <si>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</si>
  <si>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</si>
  <si>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</si>
  <si>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</si>
  <si>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</si>
  <si>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</si>
  <si>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</si>
  <si>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</si>
  <si>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</si>
  <si>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</si>
  <si>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</si>
  <si>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</si>
  <si>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</si>
  <si>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</si>
  <si>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</si>
  <si>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</si>
  <si>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</si>
  <si>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</si>
  <si>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</si>
  <si>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</si>
  <si>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</si>
  <si>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</si>
  <si>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</si>
  <si>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</si>
  <si>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</si>
  <si>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</si>
  <si>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</si>
  <si>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</si>
  <si>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</si>
  <si>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</si>
  <si>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</si>
  <si>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</si>
  <si>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</si>
  <si>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</si>
  <si>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</si>
  <si>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</si>
  <si>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</si>
  <si>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</si>
  <si>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</si>
  <si>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</si>
  <si>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</si>
  <si>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</si>
  <si>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</si>
  <si>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</si>
  <si>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</si>
  <si>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</si>
  <si>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</si>
  <si>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</si>
  <si>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</si>
  <si>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</si>
  <si>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</si>
  <si>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</si>
  <si>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</si>
  <si>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</si>
  <si>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</si>
  <si>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</si>
  <si>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</si>
  <si>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</si>
  <si>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</si>
  <si>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</si>
  <si>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</si>
  <si>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</si>
  <si>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</si>
  <si>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</si>
  <si>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</si>
  <si>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</si>
  <si>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</si>
  <si>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</si>
  <si>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</si>
  <si>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</si>
  <si>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</si>
  <si>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</si>
  <si>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</si>
  <si>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</si>
  <si>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</si>
  <si>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</si>
  <si>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</si>
  <si>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</si>
  <si>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</si>
  <si>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</si>
  <si>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</si>
  <si>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</si>
  <si>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</si>
  <si>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</si>
  <si>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</si>
  <si>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</si>
  <si>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</si>
  <si>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</si>
  <si>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</si>
  <si>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</si>
  <si>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</si>
  <si>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</si>
  <si>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</si>
  <si>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</si>
  <si>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</si>
  <si>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</si>
  <si>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</si>
  <si>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</si>
  <si>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</si>
  <si>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</si>
  <si>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</si>
  <si>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</si>
  <si>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</si>
  <si>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</si>
  <si>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</si>
  <si>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</si>
  <si>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</si>
  <si>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</si>
  <si>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</si>
  <si>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</si>
  <si>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</si>
  <si>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</si>
  <si>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</si>
  <si>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</si>
  <si>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</si>
  <si>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</si>
  <si>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</si>
  <si>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</si>
  <si>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</si>
  <si>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</si>
  <si>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</si>
  <si>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</si>
  <si>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</si>
  <si>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</si>
  <si>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</si>
  <si>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</si>
  <si>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</si>
  <si>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</si>
  <si>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</si>
  <si>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</si>
  <si>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</si>
  <si>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</si>
  <si>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</si>
  <si>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</si>
  <si>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</si>
  <si>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</si>
  <si>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</si>
  <si>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</si>
  <si>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</si>
  <si>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</si>
  <si>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</si>
  <si>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</si>
  <si>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</si>
  <si>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</si>
  <si>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</si>
  <si>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</si>
  <si>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</si>
  <si>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</si>
  <si>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</si>
  <si>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</si>
  <si>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</si>
  <si>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</si>
  <si>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</si>
  <si>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</si>
  <si>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</si>
  <si>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</si>
  <si>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</si>
  <si>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</si>
  <si>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</si>
  <si>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</si>
  <si>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</si>
  <si>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</si>
  <si>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</si>
  <si>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</si>
  <si>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</si>
  <si>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</si>
  <si>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</si>
  <si>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</si>
  <si>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</si>
  <si>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</si>
  <si>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</si>
  <si>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</si>
  <si>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</si>
  <si>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</si>
  <si>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</si>
  <si>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</si>
  <si>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</si>
  <si>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</si>
  <si>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</si>
  <si>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</si>
  <si>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</si>
  <si>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</si>
  <si>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</si>
  <si>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</si>
  <si>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</si>
  <si>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</si>
  <si>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</si>
  <si>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</si>
  <si>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</si>
  <si>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</si>
  <si>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</si>
  <si>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</si>
  <si>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</si>
  <si>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</si>
  <si>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</si>
  <si>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</si>
  <si>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</si>
  <si>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</si>
  <si>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</si>
  <si>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</si>
  <si>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</si>
  <si>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</si>
  <si>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</si>
  <si>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</si>
  <si>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</si>
  <si>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</si>
  <si>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</si>
  <si>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</si>
  <si>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</si>
  <si>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</si>
  <si>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</si>
  <si>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</si>
  <si>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</si>
  <si>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</si>
  <si>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</si>
  <si>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</si>
  <si>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</si>
  <si>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</si>
  <si>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</si>
  <si>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</si>
  <si>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</si>
  <si>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</si>
  <si>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</si>
  <si>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</si>
  <si>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</si>
  <si>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</si>
  <si>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</si>
  <si>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</si>
  <si>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</si>
  <si>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</si>
  <si>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</si>
  <si>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</si>
  <si>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</si>
  <si>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</si>
  <si>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</si>
  <si>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</si>
  <si>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</si>
  <si>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</si>
  <si>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</si>
  <si>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</si>
  <si>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</si>
  <si>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</si>
  <si>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</si>
  <si>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</si>
  <si>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</si>
  <si>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</si>
  <si>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</si>
  <si>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</si>
  <si>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</si>
  <si>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</si>
  <si>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</si>
  <si>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</si>
  <si>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</si>
  <si>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</si>
  <si>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</si>
  <si>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</si>
  <si>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</si>
  <si>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</si>
  <si>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</si>
  <si>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</si>
  <si>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</si>
  <si>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</si>
  <si>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</si>
  <si>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</si>
  <si>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</si>
  <si>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</si>
  <si>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</si>
  <si>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</si>
  <si>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</si>
  <si>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</si>
  <si>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</si>
  <si>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</si>
  <si>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</si>
  <si>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</si>
  <si>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</si>
  <si>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</si>
  <si>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</si>
  <si>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</si>
  <si>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</si>
  <si>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</si>
  <si>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</si>
  <si>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</si>
  <si>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</si>
  <si>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</si>
  <si>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</si>
  <si>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</si>
  <si>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</si>
  <si>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</si>
  <si>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</si>
  <si>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</si>
  <si>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</si>
  <si>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</si>
  <si>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</si>
  <si>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</si>
  <si>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</si>
  <si>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</si>
  <si>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</si>
  <si>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</si>
  <si>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</si>
  <si>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</si>
  <si>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</si>
  <si>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</si>
  <si>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</si>
  <si>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</si>
  <si>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</si>
  <si>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</si>
  <si>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</si>
  <si>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</si>
  <si>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</si>
  <si>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</si>
  <si>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</si>
  <si>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</si>
  <si>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</si>
  <si>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</si>
  <si>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</si>
  <si>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</si>
  <si>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</si>
  <si>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</si>
  <si>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</si>
  <si>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</si>
  <si>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</si>
  <si>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</si>
  <si>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</si>
  <si>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</si>
  <si>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</si>
  <si>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</si>
  <si>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</si>
  <si>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</si>
  <si>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</si>
  <si>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</si>
  <si>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</si>
  <si>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</si>
  <si>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</si>
  <si>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</si>
  <si>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</si>
  <si>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</si>
  <si>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</si>
  <si>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</si>
  <si>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</si>
  <si>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</si>
  <si>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</si>
  <si>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</si>
  <si>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</si>
  <si>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</si>
  <si>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</si>
  <si>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</si>
  <si>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</si>
  <si>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</si>
  <si>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</si>
  <si>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</si>
  <si>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</si>
  <si>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</si>
  <si>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</si>
  <si>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</si>
  <si>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</si>
  <si>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</si>
  <si>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</si>
  <si>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</si>
  <si>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</si>
  <si>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</si>
  <si>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</si>
  <si>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</si>
  <si>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</si>
  <si>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</si>
  <si>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</si>
  <si>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</si>
  <si>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</si>
  <si>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</si>
  <si>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</si>
  <si>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</si>
  <si>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</si>
  <si>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</si>
  <si>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</si>
  <si>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</si>
  <si>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</si>
  <si>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</si>
  <si>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</si>
  <si>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</si>
  <si>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</si>
  <si>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</si>
  <si>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</si>
  <si>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</si>
  <si>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</si>
  <si>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</si>
  <si>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</si>
  <si>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</si>
  <si>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</si>
  <si>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</si>
  <si>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</si>
  <si>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</si>
  <si>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</si>
  <si>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</si>
  <si>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</si>
  <si>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</si>
  <si>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</si>
  <si>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</si>
  <si>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</si>
  <si>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</si>
  <si>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</si>
  <si>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</si>
  <si>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</si>
  <si>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</si>
  <si>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</si>
  <si>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</si>
  <si>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</si>
  <si>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</si>
  <si>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</si>
  <si>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</si>
  <si>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</si>
  <si>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</si>
  <si>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</si>
  <si>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</si>
  <si>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</si>
  <si>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</si>
  <si>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</si>
  <si>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</si>
  <si>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</si>
  <si>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</si>
  <si>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</si>
  <si>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</si>
  <si>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</si>
  <si>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</si>
  <si>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</si>
  <si>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</si>
  <si>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</si>
  <si>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</si>
  <si>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</si>
  <si>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</si>
  <si>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</si>
  <si>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</si>
  <si>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</si>
  <si>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</si>
  <si>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</si>
  <si>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</si>
  <si>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</si>
  <si>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</si>
  <si>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</si>
  <si>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</si>
  <si>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</si>
  <si>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</si>
  <si>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</si>
  <si>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</si>
  <si>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</si>
  <si>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</si>
  <si>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</si>
  <si>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</si>
  <si>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</si>
  <si>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</si>
  <si>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</si>
  <si>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</si>
  <si>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</si>
  <si>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</si>
  <si>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</si>
  <si>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</si>
  <si>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</si>
  <si>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</si>
  <si>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</si>
  <si>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</si>
  <si>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</si>
  <si>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</si>
  <si>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</si>
  <si>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</si>
  <si>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</si>
  <si>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</si>
  <si>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</si>
  <si>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</si>
  <si>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</si>
  <si>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</si>
  <si>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</si>
  <si>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</si>
  <si>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</si>
  <si>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</si>
  <si>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</si>
  <si>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</si>
  <si>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</si>
  <si>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</si>
  <si>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</si>
  <si>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</si>
  <si>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</si>
  <si>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</si>
  <si>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</si>
  <si>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</si>
  <si>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</si>
  <si>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</si>
  <si>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</si>
  <si>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</si>
  <si>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</si>
  <si>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</si>
  <si>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</si>
  <si>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</si>
  <si>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</si>
  <si>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</si>
  <si>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</si>
  <si>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</si>
  <si>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</si>
  <si>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</si>
  <si>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</si>
  <si>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</si>
  <si>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</si>
  <si>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</si>
  <si>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</si>
  <si>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</si>
  <si>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</si>
  <si>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</si>
  <si>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</si>
  <si>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</si>
  <si>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</si>
  <si>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</si>
  <si>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</si>
  <si>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</si>
  <si>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</si>
  <si>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</si>
  <si>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</si>
  <si>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</si>
  <si>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</si>
  <si>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</si>
  <si>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</si>
  <si>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</si>
  <si>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</si>
  <si>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</si>
  <si>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</si>
  <si>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</si>
  <si>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</si>
  <si>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</si>
  <si>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</si>
  <si>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</si>
  <si>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</si>
  <si>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</si>
  <si>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</si>
  <si>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</si>
  <si>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</si>
  <si>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</si>
  <si>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</si>
  <si>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</si>
  <si>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</si>
  <si>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</si>
  <si>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</si>
  <si>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</si>
  <si>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</si>
  <si>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</si>
  <si>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</si>
  <si>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</si>
  <si>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</si>
  <si>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</si>
  <si>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</si>
  <si>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</si>
  <si>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</si>
  <si>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</si>
  <si>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</si>
  <si>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</si>
  <si>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</si>
  <si>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</si>
  <si>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</si>
  <si>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</si>
  <si>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</si>
  <si>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</si>
  <si>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</si>
  <si>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</si>
  <si>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</si>
  <si>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</si>
  <si>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</si>
  <si>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</si>
  <si>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</si>
  <si>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</si>
  <si>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</si>
  <si>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</si>
  <si>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</si>
  <si>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</si>
  <si>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</si>
  <si>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</si>
  <si>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</si>
  <si>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</si>
  <si>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</si>
  <si>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</si>
  <si>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</si>
  <si>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</si>
  <si>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</si>
  <si>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</si>
  <si>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</si>
  <si>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</si>
  <si>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</si>
  <si>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</si>
  <si>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</si>
  <si>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</si>
  <si>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</si>
  <si>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</si>
  <si>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</si>
  <si>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</si>
  <si>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</si>
  <si>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</si>
  <si>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</si>
  <si>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</si>
  <si>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</si>
  <si>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</si>
  <si>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</si>
  <si>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</si>
  <si>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</si>
  <si>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</si>
  <si>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</si>
  <si>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</si>
  <si>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</si>
  <si>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</si>
  <si>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</si>
  <si>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</si>
  <si>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</si>
  <si>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</si>
  <si>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</si>
  <si>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</si>
  <si>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</si>
  <si>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</si>
  <si>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</si>
  <si>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</si>
  <si>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</si>
  <si>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</si>
  <si>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</si>
  <si>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</si>
  <si>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</si>
  <si>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</si>
  <si>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</si>
  <si>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</si>
  <si>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</si>
  <si>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</si>
  <si>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</si>
  <si>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</si>
  <si>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</si>
  <si>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</si>
  <si>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</si>
  <si>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</si>
  <si>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</si>
  <si>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</si>
  <si>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</si>
  <si>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</si>
  <si>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</si>
  <si>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</si>
  <si>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</si>
  <si>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</si>
  <si>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</si>
  <si>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</si>
  <si>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</si>
  <si>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</si>
  <si>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</si>
  <si>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</si>
  <si>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</si>
  <si>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</si>
  <si>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</si>
  <si>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</si>
  <si>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</si>
  <si>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</si>
  <si>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</si>
  <si>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</si>
  <si>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</si>
  <si>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</si>
  <si>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</si>
  <si>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</si>
  <si>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</si>
  <si>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</si>
  <si>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</si>
  <si>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</si>
  <si>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</si>
  <si>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</si>
  <si>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</si>
  <si>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</si>
  <si>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</si>
  <si>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</si>
  <si>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</si>
  <si>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</si>
  <si>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</si>
  <si>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</si>
  <si>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</si>
  <si>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</si>
  <si>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</si>
  <si>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</si>
  <si>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</si>
  <si>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</si>
  <si>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</si>
  <si>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</si>
  <si>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</si>
  <si>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</si>
  <si>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</si>
  <si>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</si>
  <si>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</si>
  <si>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</si>
  <si>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</si>
  <si>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</si>
  <si>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</si>
  <si>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</si>
  <si>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</si>
  <si>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</si>
  <si>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</si>
  <si>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</si>
  <si>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</si>
  <si>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</si>
  <si>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</si>
  <si>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</si>
  <si>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</si>
  <si>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</si>
  <si>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</si>
  <si>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</si>
  <si>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</si>
  <si>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</si>
  <si>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</si>
  <si>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</si>
  <si>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</si>
  <si>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</si>
  <si>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</si>
  <si>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</si>
  <si>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</si>
  <si>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</si>
  <si>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</si>
  <si>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</si>
  <si>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</si>
  <si>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</si>
  <si>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</si>
  <si>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</si>
  <si>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</si>
  <si>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</si>
  <si>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</si>
  <si>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</si>
  <si>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</si>
  <si>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</si>
  <si>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</si>
  <si>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</si>
  <si>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</si>
  <si>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</si>
  <si>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</si>
  <si>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</si>
  <si>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</si>
  <si>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</si>
  <si>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</si>
  <si>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</si>
  <si>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</si>
  <si>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</si>
  <si>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</si>
  <si>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</si>
  <si>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</si>
  <si>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</si>
  <si>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</si>
  <si>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</si>
  <si>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</si>
  <si>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</si>
  <si>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</si>
  <si>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</si>
  <si>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</si>
  <si>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</si>
  <si>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</si>
  <si>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</si>
  <si>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</si>
  <si>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</si>
  <si>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</si>
  <si>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</si>
  <si>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</si>
  <si>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</si>
  <si>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</si>
  <si>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</si>
  <si>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</si>
  <si>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</si>
  <si>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</si>
  <si>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</si>
  <si>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</si>
  <si>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</si>
  <si>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</si>
  <si>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</si>
  <si>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</si>
  <si>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</si>
  <si>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</si>
  <si>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</si>
  <si>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</si>
  <si>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</si>
  <si>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</si>
  <si>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</si>
  <si>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</si>
  <si>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</si>
  <si>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</si>
  <si>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</si>
  <si>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</si>
  <si>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</si>
  <si>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</si>
  <si>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</si>
  <si>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</si>
  <si>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</si>
  <si>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</si>
  <si>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</si>
  <si>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</si>
  <si>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</si>
  <si>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</si>
  <si>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</si>
  <si>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</si>
  <si>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</si>
  <si>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</si>
  <si>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</si>
  <si>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</si>
  <si>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</si>
  <si>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</si>
  <si>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</si>
  <si>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</si>
  <si>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</si>
  <si>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</si>
  <si>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</si>
  <si>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</si>
  <si>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</si>
  <si>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</si>
  <si>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</si>
  <si>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</si>
  <si>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</si>
  <si>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</si>
  <si>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</si>
  <si>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</si>
  <si>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</si>
  <si>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</si>
  <si>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</si>
  <si>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</si>
  <si>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</si>
  <si>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</si>
  <si>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</si>
  <si>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</si>
  <si>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</si>
  <si>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</si>
  <si>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</si>
  <si>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</si>
  <si>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</si>
  <si>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</si>
  <si>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</si>
  <si>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</si>
  <si>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</si>
  <si>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</si>
  <si>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</si>
  <si>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</si>
  <si>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</si>
  <si>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</si>
  <si>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</si>
  <si>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</si>
  <si>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</si>
  <si>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</si>
  <si>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</si>
  <si>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</si>
  <si>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</si>
  <si>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</si>
  <si>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</si>
  <si>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</si>
  <si>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</si>
  <si>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</si>
  <si>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</si>
  <si>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</si>
  <si>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</si>
  <si>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</si>
  <si>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</si>
  <si>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</si>
  <si>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</si>
  <si>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</si>
  <si>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</si>
  <si>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</si>
  <si>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</si>
  <si>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</si>
  <si>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</si>
  <si>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</si>
  <si>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</si>
  <si>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</si>
  <si>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</si>
  <si>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</si>
  <si>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</si>
  <si>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</si>
  <si>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</si>
  <si>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</si>
  <si>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</si>
  <si>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</si>
  <si>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</si>
  <si>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</si>
  <si>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</si>
  <si>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</si>
  <si>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</si>
  <si>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</si>
  <si>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</si>
  <si>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</si>
  <si>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</si>
  <si>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</si>
  <si>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</si>
  <si>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</si>
  <si>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</si>
  <si>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</si>
  <si>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</si>
  <si>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</si>
  <si>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</si>
  <si>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</si>
  <si>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</si>
  <si>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</si>
  <si>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</si>
  <si>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</si>
  <si>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</si>
  <si>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</si>
  <si>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</si>
  <si>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</si>
  <si>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</si>
  <si>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</si>
  <si>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</si>
  <si>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</si>
  <si>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</si>
  <si>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</si>
  <si>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</si>
  <si>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</si>
  <si>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</si>
  <si>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</si>
  <si>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</si>
  <si>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</si>
  <si>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</si>
  <si>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</si>
  <si>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</si>
  <si>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</si>
  <si>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</si>
  <si>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</si>
  <si>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</si>
  <si>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</si>
  <si>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</si>
  <si>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</si>
  <si>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</si>
  <si>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</si>
  <si>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</si>
  <si>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</si>
  <si>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</si>
  <si>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</si>
  <si>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</si>
  <si>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</si>
  <si>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</si>
  <si>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</si>
  <si>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</si>
  <si>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</si>
  <si>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</si>
  <si>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</si>
  <si>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</si>
  <si>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</si>
  <si>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</si>
  <si>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</si>
  <si>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</si>
  <si>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</si>
  <si>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</si>
  <si>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</si>
  <si>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</si>
  <si>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</si>
  <si>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</si>
  <si>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</si>
  <si>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</si>
  <si>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</si>
  <si>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</si>
  <si>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</si>
  <si>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</si>
  <si>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</si>
  <si>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</si>
  <si>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</si>
  <si>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</si>
  <si>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</si>
  <si>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</si>
  <si>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</si>
  <si>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</si>
  <si>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</si>
  <si>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</si>
  <si>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</si>
  <si>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</si>
  <si>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</si>
  <si>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</si>
  <si>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</si>
  <si>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</si>
  <si>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</si>
  <si>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</si>
  <si>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</si>
  <si>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</si>
  <si>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</si>
  <si>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</si>
  <si>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</si>
  <si>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</si>
  <si>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</si>
  <si>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</si>
  <si>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</si>
  <si>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</si>
  <si>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</si>
  <si>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</si>
  <si>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</si>
  <si>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</si>
  <si>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</si>
  <si>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</si>
  <si>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</si>
  <si>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</si>
  <si>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</si>
  <si>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</si>
  <si>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</si>
  <si>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</si>
  <si>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</si>
  <si>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</si>
  <si>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</si>
  <si>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</si>
  <si>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</si>
  <si>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</si>
  <si>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</si>
  <si>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</si>
  <si>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</si>
  <si>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</si>
  <si>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</si>
  <si>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</si>
  <si>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</si>
  <si>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</si>
  <si>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</si>
  <si>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</si>
  <si>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</si>
  <si>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</si>
  <si>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</si>
  <si>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</si>
  <si>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</si>
  <si>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</si>
  <si>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</si>
  <si>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</si>
  <si>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</si>
  <si>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</si>
  <si>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</si>
  <si>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</si>
  <si>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</si>
  <si>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</si>
  <si>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</si>
  <si>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</si>
  <si>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</si>
  <si>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</si>
  <si>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</si>
  <si>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</si>
  <si>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</si>
  <si>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</si>
  <si>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</si>
  <si>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</si>
  <si>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</si>
  <si>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</si>
  <si>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</si>
  <si>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</si>
  <si>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</si>
  <si>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</si>
  <si>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</si>
  <si>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</si>
  <si>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</si>
  <si>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</si>
  <si>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</si>
  <si>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</si>
  <si>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</si>
  <si>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</si>
  <si>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</si>
  <si>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</si>
  <si>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</si>
  <si>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</si>
  <si>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</si>
  <si>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</si>
  <si>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</si>
  <si>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</si>
  <si>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</si>
  <si>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</si>
  <si>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</si>
  <si>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</si>
  <si>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</si>
  <si>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</si>
  <si>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</si>
  <si>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</si>
  <si>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</si>
  <si>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</si>
  <si>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</si>
  <si>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</si>
  <si>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</si>
  <si>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</si>
  <si>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</si>
  <si>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</si>
  <si>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</si>
  <si>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</si>
  <si>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</si>
  <si>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</si>
  <si>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</si>
  <si>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</si>
  <si>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</si>
  <si>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</si>
  <si>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</si>
  <si>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</si>
  <si>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</si>
  <si>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</si>
  <si>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</si>
  <si>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</si>
  <si>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</si>
  <si>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</si>
  <si>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</si>
  <si>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</si>
  <si>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</si>
  <si>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</si>
  <si>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</si>
  <si>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</si>
  <si>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</si>
  <si>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</si>
  <si>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</si>
  <si>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</si>
  <si>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</si>
  <si>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</si>
  <si>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</si>
  <si>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</si>
  <si>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</si>
  <si>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</si>
  <si>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</si>
  <si>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</si>
  <si>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</si>
  <si>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</si>
  <si>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</si>
  <si>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</si>
  <si>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</si>
  <si>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</si>
  <si>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</si>
  <si>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</si>
  <si>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</si>
  <si>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</si>
  <si>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</si>
  <si>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</si>
  <si>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</si>
  <si>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</si>
  <si>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</si>
  <si>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</si>
  <si>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</si>
  <si>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</si>
  <si>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</si>
  <si>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</si>
  <si>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</si>
  <si>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</si>
  <si>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</si>
  <si>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</si>
  <si>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</si>
  <si>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</si>
  <si>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</si>
  <si>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</si>
  <si>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</si>
  <si>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</si>
  <si>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</si>
  <si>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</si>
  <si>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</si>
  <si>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</si>
  <si>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</si>
  <si>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</si>
  <si>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</si>
  <si>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</si>
  <si>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</si>
  <si>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</si>
  <si>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</si>
  <si>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</si>
  <si>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</si>
  <si>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</si>
  <si>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</si>
  <si>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</si>
  <si>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</si>
  <si>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</si>
  <si>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</si>
  <si>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</si>
  <si>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</si>
  <si>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</si>
  <si>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</si>
  <si>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</si>
  <si>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</si>
  <si>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</si>
  <si>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</si>
  <si>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</si>
  <si>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</si>
  <si>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</si>
  <si>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</si>
  <si>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</si>
  <si>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</si>
  <si>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</si>
  <si>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</si>
  <si>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</si>
  <si>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</si>
  <si>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</si>
  <si>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</si>
  <si>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</si>
  <si>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</si>
  <si>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</si>
  <si>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</si>
  <si>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</si>
  <si>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</si>
  <si>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</si>
  <si>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</si>
  <si>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</si>
  <si>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</si>
  <si>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</si>
  <si>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</si>
  <si>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</si>
  <si>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</si>
  <si>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</si>
  <si>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</si>
  <si>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</si>
  <si>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</si>
  <si>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</si>
  <si>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</si>
  <si>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</si>
  <si>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</si>
  <si>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</si>
  <si>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</si>
  <si>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</si>
  <si>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</si>
  <si>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</si>
  <si>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</si>
  <si>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</si>
  <si>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</si>
  <si>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</si>
  <si>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</si>
  <si>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</si>
  <si>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</si>
  <si>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</si>
  <si>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</si>
  <si>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</si>
  <si>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</si>
  <si>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</si>
  <si>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</si>
  <si>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</si>
  <si>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</si>
  <si>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</si>
  <si>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</si>
  <si>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</si>
  <si>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</si>
  <si>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</si>
  <si>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</si>
  <si>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</si>
  <si>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</si>
  <si>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</si>
  <si>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</si>
  <si>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</si>
  <si>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</si>
  <si>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</si>
  <si>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</si>
  <si>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</si>
  <si>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</si>
  <si>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</si>
  <si>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</si>
  <si>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</si>
  <si>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</si>
  <si>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</si>
  <si>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</si>
  <si>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</si>
  <si>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</si>
  <si>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</si>
  <si>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</si>
  <si>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</si>
  <si>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</si>
  <si>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</si>
  <si>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</si>
  <si>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</si>
  <si>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</si>
  <si>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</si>
  <si>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</si>
  <si>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</si>
  <si>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</si>
  <si>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</si>
  <si>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</si>
  <si>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</si>
  <si>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</si>
  <si>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</si>
  <si>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</si>
  <si>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</si>
  <si>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</si>
  <si>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</si>
  <si>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</si>
  <si>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</si>
  <si>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</si>
  <si>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</si>
  <si>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</si>
  <si>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</si>
  <si>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</si>
  <si>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</si>
  <si>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</si>
  <si>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</si>
  <si>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</si>
  <si>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</si>
  <si>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</si>
  <si>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</si>
  <si>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</si>
  <si>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</si>
  <si>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</si>
  <si>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</si>
  <si>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</si>
  <si>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</si>
  <si>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</si>
  <si>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</si>
  <si>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</si>
  <si>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</si>
  <si>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</si>
  <si>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</si>
  <si>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</si>
  <si>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</si>
  <si>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</si>
  <si>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</si>
  <si>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</si>
  <si>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</si>
  <si>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</si>
  <si>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</si>
  <si>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</si>
  <si>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</si>
  <si>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</si>
  <si>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</si>
  <si>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</si>
  <si>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</si>
  <si>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</si>
  <si>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</si>
  <si>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</si>
  <si>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</si>
  <si>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</si>
  <si>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</si>
  <si>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</si>
  <si>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</si>
  <si>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</si>
  <si>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</si>
  <si>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</si>
  <si>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</si>
  <si>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</si>
  <si>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</si>
  <si>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</si>
  <si>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</si>
  <si>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</si>
  <si>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</si>
  <si>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</si>
  <si>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</si>
  <si>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</si>
  <si>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</si>
  <si>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</si>
  <si>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</si>
  <si>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</si>
  <si>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</si>
  <si>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</si>
  <si>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</si>
  <si>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</si>
  <si>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</si>
  <si>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</si>
  <si>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</si>
  <si>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</si>
  <si>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</si>
  <si>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</si>
  <si>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</si>
  <si>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</si>
  <si>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</si>
  <si>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</si>
  <si>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</si>
  <si>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</si>
  <si>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</si>
  <si>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</si>
  <si>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</si>
  <si>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</si>
  <si>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</si>
  <si>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</si>
  <si>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</si>
  <si>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</si>
  <si>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</si>
  <si>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</si>
  <si>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</si>
  <si>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</si>
  <si>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</si>
  <si>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</si>
  <si>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</si>
  <si>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</si>
  <si>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</si>
  <si>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</si>
  <si>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</si>
  <si>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</si>
  <si>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</si>
  <si>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</si>
  <si>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</si>
  <si>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</si>
  <si>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</si>
  <si>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</si>
  <si>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</si>
  <si>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</si>
  <si>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</si>
  <si>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</si>
  <si>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</si>
  <si>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</si>
  <si>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</si>
  <si>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</si>
  <si>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</si>
  <si>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</si>
  <si>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</si>
  <si>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</si>
  <si>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</si>
  <si>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</si>
  <si>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</si>
  <si>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</si>
  <si>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</si>
  <si>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</si>
  <si>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</si>
  <si>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</si>
  <si>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</si>
  <si>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</si>
  <si>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</si>
  <si>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</si>
  <si>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</si>
  <si>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</si>
  <si>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</si>
  <si>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</si>
  <si>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</si>
  <si>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</si>
  <si>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</si>
  <si>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</si>
  <si>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</si>
  <si>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</si>
  <si>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</si>
  <si>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</si>
  <si>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</si>
  <si>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</si>
  <si>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</si>
  <si>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</si>
  <si>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</si>
  <si>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</si>
  <si>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</si>
  <si>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</si>
  <si>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</si>
  <si>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</si>
  <si>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</si>
  <si>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</si>
  <si>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</si>
  <si>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</si>
  <si>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</si>
  <si>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</si>
  <si>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</si>
  <si>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</si>
  <si>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</si>
  <si>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</si>
  <si>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</si>
  <si>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</si>
  <si>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</si>
  <si>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</si>
  <si>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</si>
  <si>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</si>
  <si>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</si>
  <si>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</si>
  <si>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</si>
  <si>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</si>
  <si>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</si>
  <si>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</si>
  <si>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</si>
  <si>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</si>
  <si>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</si>
  <si>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</si>
  <si>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</si>
  <si>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</si>
  <si>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</si>
  <si>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</si>
  <si>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256</t>
  </si>
  <si>
    <t>184</t>
  </si>
  <si>
    <t>100</t>
  </si>
  <si>
    <t>018</t>
  </si>
  <si>
    <t>102</t>
  </si>
  <si>
    <t>130</t>
  </si>
  <si>
    <t>190</t>
  </si>
  <si>
    <t>152</t>
  </si>
  <si>
    <t>143</t>
  </si>
  <si>
    <t>711</t>
  </si>
  <si>
    <t>299</t>
  </si>
  <si>
    <t>616</t>
  </si>
  <si>
    <t>255</t>
  </si>
  <si>
    <t xml:space="preserve">INSTITUTO COLOMBIANO DE BIENESTAR FAMILIAR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</si>
  <si>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</si>
  <si>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397</t>
  </si>
  <si>
    <t xml:space="preserve">ELVIRA ESCORCIA EPALZA </t>
  </si>
  <si>
    <t>CALLE 4B2 No. 2S-68</t>
  </si>
  <si>
    <t>3003009647</t>
  </si>
  <si>
    <t>asopafaeltesoro@gmail.com</t>
  </si>
  <si>
    <t>2021-8-10000193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</si>
</sst>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2" zoomScale="86" zoomScaleNormal="86"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1" t="str">
        <f>HYPERLINK("#MI_Oferente_Singular!A114","CAPACIDAD RESIDUAL")</f>
        <v>CAPACIDAD RESIDUAL</v>
      </c>
      <c r="F8" s="232"/>
      <c r="G8" s="233"/>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1" t="str">
        <f>HYPERLINK("#MI_Oferente_Singular!A162","TALENTO HUMANO")</f>
        <v>TALENTO HUMANO</v>
      </c>
      <c r="F9" s="232"/>
      <c r="G9" s="233"/>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1" t="str">
        <f>HYPERLINK("#MI_Oferente_Singular!F162","INFRAESTRUCTURA")</f>
        <v>INFRAESTRUCTURA</v>
      </c>
      <c r="F10" s="232"/>
      <c r="G10" s="233"/>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3" t="s">
        <v>2698</v>
      </c>
      <c r="D15" s="35"/>
      <c r="E15" s="35"/>
      <c r="F15" s="5"/>
      <c r="G15" s="32" t="s">
        <v>1168</v>
      </c>
      <c r="H15" s="103" t="s">
        <v>163</v>
      </c>
      <c r="I15" s="32" t="s">
        <v>2624</v>
      </c>
      <c r="J15" s="108" t="s">
        <v>2626</v>
      </c>
      <c r="L15" s="215" t="s">
        <v>8</v>
      </c>
      <c r="M15" s="215"/>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9" t="s">
        <v>11</v>
      </c>
      <c r="J19" s="130" t="s">
        <v>10</v>
      </c>
      <c r="K19" s="130" t="s">
        <v>2609</v>
      </c>
      <c r="L19" s="130" t="s">
        <v>1161</v>
      </c>
      <c r="M19" s="130" t="s">
        <v>1162</v>
      </c>
      <c r="N19" s="131" t="s">
        <v>2610</v>
      </c>
      <c r="O19" s="126"/>
      <c r="Q19" s="51"/>
      <c r="R19" s="51"/>
    </row>
    <row r="20" spans="1:23" ht="30" customHeight="1" x14ac:dyDescent="0.25">
      <c r="A20" s="9"/>
      <c r="B20" s="109">
        <v>802011431</v>
      </c>
      <c r="C20" s="5"/>
      <c r="D20" s="73"/>
      <c r="E20" s="5"/>
      <c r="F20" s="5"/>
      <c r="G20" s="5"/>
      <c r="H20" s="234"/>
      <c r="I20" s="136" t="s">
        <v>163</v>
      </c>
      <c r="J20" s="137" t="s">
        <v>172</v>
      </c>
      <c r="K20" s="138">
        <v>493455156</v>
      </c>
      <c r="L20" s="139">
        <v>44205</v>
      </c>
      <c r="M20" s="139">
        <v>44561</v>
      </c>
      <c r="N20" s="124">
        <f>+(M20-L20)/30</f>
        <v>11.866666666666667</v>
      </c>
      <c r="O20" s="127"/>
      <c r="U20" s="123"/>
      <c r="V20" s="105">
        <f ca="1">NOW()</f>
        <v>44194.550724421293</v>
      </c>
      <c r="W20" s="105">
        <f ca="1">NOW()</f>
        <v>44194.550724421293</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229" t="str">
        <f>VLOOKUP(B20,EAS!A2:B1439,2,0)</f>
        <v>ASOCIACIÓN DE PADRES DE FAMILIA DE LOS HOGARES DE BIENESTAR MALAMBO EL TESORO</v>
      </c>
      <c r="C38" s="229"/>
      <c r="D38" s="229"/>
      <c r="E38" s="229"/>
      <c r="F38" s="229"/>
      <c r="G38" s="5"/>
      <c r="H38" s="121"/>
      <c r="I38" s="238" t="s">
        <v>7</v>
      </c>
      <c r="J38" s="238"/>
      <c r="K38" s="238"/>
      <c r="L38" s="238"/>
      <c r="M38" s="238"/>
      <c r="N38" s="238"/>
      <c r="O38" s="122"/>
    </row>
    <row r="39" spans="1:16" ht="42.95" customHeight="1" thickBot="1" x14ac:dyDescent="0.3">
      <c r="A39" s="10"/>
      <c r="B39" s="11"/>
      <c r="C39" s="11"/>
      <c r="D39" s="11"/>
      <c r="E39" s="11"/>
      <c r="F39" s="11"/>
      <c r="G39" s="11"/>
      <c r="H39" s="10"/>
      <c r="I39" s="224" t="s">
        <v>2692</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2691</v>
      </c>
      <c r="C48" s="116" t="s">
        <v>31</v>
      </c>
      <c r="D48" s="113" t="s">
        <v>2678</v>
      </c>
      <c r="E48" s="134">
        <v>39540</v>
      </c>
      <c r="F48" s="134">
        <v>39813</v>
      </c>
      <c r="G48" s="147">
        <f>IF(AND(E48&lt;&gt;"",F48&lt;&gt;""),((F48-E48)/30),"")</f>
        <v>9.1</v>
      </c>
      <c r="H48" s="114" t="s">
        <v>2676</v>
      </c>
      <c r="I48" s="113" t="s">
        <v>163</v>
      </c>
      <c r="J48" s="113" t="s">
        <v>172</v>
      </c>
      <c r="K48" s="115">
        <v>167261826</v>
      </c>
      <c r="L48" s="110" t="s">
        <v>1148</v>
      </c>
      <c r="M48" s="111"/>
      <c r="N48" s="110" t="s">
        <v>27</v>
      </c>
      <c r="O48" s="110" t="s">
        <v>26</v>
      </c>
      <c r="P48" s="78"/>
    </row>
    <row r="49" spans="1:16" s="6" customFormat="1" ht="24.75" customHeight="1" x14ac:dyDescent="0.25">
      <c r="A49" s="132">
        <v>2</v>
      </c>
      <c r="B49" s="114" t="s">
        <v>2691</v>
      </c>
      <c r="C49" s="116" t="s">
        <v>31</v>
      </c>
      <c r="D49" s="113" t="s">
        <v>2679</v>
      </c>
      <c r="E49" s="134">
        <v>39833</v>
      </c>
      <c r="F49" s="134">
        <v>40178</v>
      </c>
      <c r="G49" s="147">
        <f t="shared" ref="G49:G50" si="2">IF(AND(E49&lt;&gt;"",F49&lt;&gt;""),((F49-E49)/30),"")</f>
        <v>11.5</v>
      </c>
      <c r="H49" s="114" t="s">
        <v>2676</v>
      </c>
      <c r="I49" s="113" t="s">
        <v>163</v>
      </c>
      <c r="J49" s="113" t="s">
        <v>172</v>
      </c>
      <c r="K49" s="115">
        <v>166954001</v>
      </c>
      <c r="L49" s="116" t="s">
        <v>1148</v>
      </c>
      <c r="M49" s="111"/>
      <c r="N49" s="116" t="s">
        <v>27</v>
      </c>
      <c r="O49" s="116" t="s">
        <v>26</v>
      </c>
      <c r="P49" s="78"/>
    </row>
    <row r="50" spans="1:16" s="6" customFormat="1" ht="24.75" customHeight="1" x14ac:dyDescent="0.25">
      <c r="A50" s="132">
        <v>3</v>
      </c>
      <c r="B50" s="114" t="s">
        <v>2691</v>
      </c>
      <c r="C50" s="116" t="s">
        <v>31</v>
      </c>
      <c r="D50" s="113" t="s">
        <v>2680</v>
      </c>
      <c r="E50" s="134">
        <v>40182</v>
      </c>
      <c r="F50" s="134">
        <v>40543</v>
      </c>
      <c r="G50" s="147">
        <f t="shared" si="2"/>
        <v>12.033333333333333</v>
      </c>
      <c r="H50" s="114" t="s">
        <v>2676</v>
      </c>
      <c r="I50" s="113" t="s">
        <v>163</v>
      </c>
      <c r="J50" s="113" t="s">
        <v>172</v>
      </c>
      <c r="K50" s="115">
        <v>173338386</v>
      </c>
      <c r="L50" s="116" t="s">
        <v>1148</v>
      </c>
      <c r="M50" s="111"/>
      <c r="N50" s="116" t="s">
        <v>27</v>
      </c>
      <c r="O50" s="116" t="s">
        <v>26</v>
      </c>
      <c r="P50" s="78"/>
    </row>
    <row r="51" spans="1:16" s="6" customFormat="1" ht="24.75" customHeight="1" outlineLevel="1" x14ac:dyDescent="0.25">
      <c r="A51" s="132">
        <v>4</v>
      </c>
      <c r="B51" s="114" t="s">
        <v>2691</v>
      </c>
      <c r="C51" s="116" t="s">
        <v>31</v>
      </c>
      <c r="D51" s="113" t="s">
        <v>2681</v>
      </c>
      <c r="E51" s="134">
        <v>40560</v>
      </c>
      <c r="F51" s="134">
        <v>40908</v>
      </c>
      <c r="G51" s="147">
        <f t="shared" ref="G51:G107" si="3">IF(AND(E51&lt;&gt;"",F51&lt;&gt;""),((F51-E51)/30),"")</f>
        <v>11.6</v>
      </c>
      <c r="H51" s="114" t="s">
        <v>2676</v>
      </c>
      <c r="I51" s="113" t="s">
        <v>163</v>
      </c>
      <c r="J51" s="113" t="s">
        <v>172</v>
      </c>
      <c r="K51" s="115">
        <v>179929984</v>
      </c>
      <c r="L51" s="116" t="s">
        <v>1148</v>
      </c>
      <c r="M51" s="111"/>
      <c r="N51" s="116" t="s">
        <v>27</v>
      </c>
      <c r="O51" s="116" t="s">
        <v>26</v>
      </c>
      <c r="P51" s="78"/>
    </row>
    <row r="52" spans="1:16" s="7" customFormat="1" ht="24.75" customHeight="1" outlineLevel="1" x14ac:dyDescent="0.25">
      <c r="A52" s="133">
        <v>5</v>
      </c>
      <c r="B52" s="114" t="s">
        <v>2691</v>
      </c>
      <c r="C52" s="116" t="s">
        <v>31</v>
      </c>
      <c r="D52" s="113" t="s">
        <v>2682</v>
      </c>
      <c r="E52" s="134">
        <v>40931</v>
      </c>
      <c r="F52" s="134">
        <v>41274</v>
      </c>
      <c r="G52" s="147">
        <f t="shared" si="3"/>
        <v>11.433333333333334</v>
      </c>
      <c r="H52" s="114" t="s">
        <v>2676</v>
      </c>
      <c r="I52" s="113" t="s">
        <v>163</v>
      </c>
      <c r="J52" s="113" t="s">
        <v>172</v>
      </c>
      <c r="K52" s="115">
        <v>181240074</v>
      </c>
      <c r="L52" s="116" t="s">
        <v>1148</v>
      </c>
      <c r="M52" s="111"/>
      <c r="N52" s="116" t="s">
        <v>27</v>
      </c>
      <c r="O52" s="116" t="s">
        <v>26</v>
      </c>
      <c r="P52" s="79"/>
    </row>
    <row r="53" spans="1:16" s="7" customFormat="1" ht="24.75" customHeight="1" outlineLevel="1" x14ac:dyDescent="0.25">
      <c r="A53" s="133">
        <v>6</v>
      </c>
      <c r="B53" s="114" t="s">
        <v>2691</v>
      </c>
      <c r="C53" s="116" t="s">
        <v>31</v>
      </c>
      <c r="D53" s="113" t="s">
        <v>2683</v>
      </c>
      <c r="E53" s="134">
        <v>41304</v>
      </c>
      <c r="F53" s="134">
        <v>41639</v>
      </c>
      <c r="G53" s="147">
        <f t="shared" si="3"/>
        <v>11.166666666666666</v>
      </c>
      <c r="H53" s="114" t="s">
        <v>2676</v>
      </c>
      <c r="I53" s="113" t="s">
        <v>163</v>
      </c>
      <c r="J53" s="113" t="s">
        <v>172</v>
      </c>
      <c r="K53" s="115">
        <v>247587555</v>
      </c>
      <c r="L53" s="116" t="s">
        <v>1148</v>
      </c>
      <c r="M53" s="111"/>
      <c r="N53" s="116" t="s">
        <v>27</v>
      </c>
      <c r="O53" s="116" t="s">
        <v>26</v>
      </c>
      <c r="P53" s="79"/>
    </row>
    <row r="54" spans="1:16" s="7" customFormat="1" ht="24.75" customHeight="1" outlineLevel="1" x14ac:dyDescent="0.25">
      <c r="A54" s="133">
        <v>7</v>
      </c>
      <c r="B54" s="114" t="s">
        <v>2691</v>
      </c>
      <c r="C54" s="116" t="s">
        <v>31</v>
      </c>
      <c r="D54" s="113" t="s">
        <v>2684</v>
      </c>
      <c r="E54" s="134">
        <v>41663</v>
      </c>
      <c r="F54" s="134">
        <v>42034</v>
      </c>
      <c r="G54" s="147">
        <f t="shared" si="3"/>
        <v>12.366666666666667</v>
      </c>
      <c r="H54" s="114" t="s">
        <v>2676</v>
      </c>
      <c r="I54" s="113" t="s">
        <v>163</v>
      </c>
      <c r="J54" s="113" t="s">
        <v>172</v>
      </c>
      <c r="K54" s="112">
        <f>242132989+58151806+45436690</f>
        <v>345721485</v>
      </c>
      <c r="L54" s="116" t="s">
        <v>1148</v>
      </c>
      <c r="M54" s="111"/>
      <c r="N54" s="116" t="s">
        <v>27</v>
      </c>
      <c r="O54" s="116" t="s">
        <v>26</v>
      </c>
      <c r="P54" s="79"/>
    </row>
    <row r="55" spans="1:16" s="7" customFormat="1" ht="24.75" customHeight="1" outlineLevel="1" x14ac:dyDescent="0.25">
      <c r="A55" s="133">
        <v>8</v>
      </c>
      <c r="B55" s="114" t="s">
        <v>2691</v>
      </c>
      <c r="C55" s="116" t="s">
        <v>31</v>
      </c>
      <c r="D55" s="113" t="s">
        <v>2685</v>
      </c>
      <c r="E55" s="134">
        <v>42034</v>
      </c>
      <c r="F55" s="134">
        <v>42369</v>
      </c>
      <c r="G55" s="147">
        <f t="shared" si="3"/>
        <v>11.166666666666666</v>
      </c>
      <c r="H55" s="114" t="s">
        <v>2676</v>
      </c>
      <c r="I55" s="113" t="s">
        <v>163</v>
      </c>
      <c r="J55" s="113" t="s">
        <v>172</v>
      </c>
      <c r="K55" s="112">
        <f>331527296+2729376</f>
        <v>334256672</v>
      </c>
      <c r="L55" s="116" t="s">
        <v>1148</v>
      </c>
      <c r="M55" s="111"/>
      <c r="N55" s="116" t="s">
        <v>27</v>
      </c>
      <c r="O55" s="116" t="s">
        <v>26</v>
      </c>
      <c r="P55" s="79"/>
    </row>
    <row r="56" spans="1:16" s="7" customFormat="1" ht="24.75" customHeight="1" outlineLevel="1" x14ac:dyDescent="0.25">
      <c r="A56" s="133">
        <v>9</v>
      </c>
      <c r="B56" s="114" t="s">
        <v>2691</v>
      </c>
      <c r="C56" s="116" t="s">
        <v>31</v>
      </c>
      <c r="D56" s="113" t="s">
        <v>2686</v>
      </c>
      <c r="E56" s="134">
        <v>42399</v>
      </c>
      <c r="F56" s="134">
        <v>42674</v>
      </c>
      <c r="G56" s="147">
        <f t="shared" si="3"/>
        <v>9.1666666666666661</v>
      </c>
      <c r="H56" s="114" t="s">
        <v>2676</v>
      </c>
      <c r="I56" s="113" t="s">
        <v>163</v>
      </c>
      <c r="J56" s="113" t="s">
        <v>172</v>
      </c>
      <c r="K56" s="112">
        <f>326078448+31565749-541695</f>
        <v>357102502</v>
      </c>
      <c r="L56" s="116" t="s">
        <v>1148</v>
      </c>
      <c r="M56" s="111"/>
      <c r="N56" s="116" t="s">
        <v>27</v>
      </c>
      <c r="O56" s="116" t="s">
        <v>26</v>
      </c>
      <c r="P56" s="79"/>
    </row>
    <row r="57" spans="1:16" s="7" customFormat="1" ht="24.75" customHeight="1" outlineLevel="1" x14ac:dyDescent="0.25">
      <c r="A57" s="133">
        <v>10</v>
      </c>
      <c r="B57" s="114" t="s">
        <v>2691</v>
      </c>
      <c r="C57" s="116" t="s">
        <v>31</v>
      </c>
      <c r="D57" s="113" t="s">
        <v>2687</v>
      </c>
      <c r="E57" s="134">
        <v>42675</v>
      </c>
      <c r="F57" s="134">
        <v>43312</v>
      </c>
      <c r="G57" s="147">
        <f t="shared" si="3"/>
        <v>21.233333333333334</v>
      </c>
      <c r="H57" s="114" t="s">
        <v>2676</v>
      </c>
      <c r="I57" s="113" t="s">
        <v>163</v>
      </c>
      <c r="J57" s="113" t="s">
        <v>172</v>
      </c>
      <c r="K57" s="115">
        <f>879784292+64134115+37252000-3724701-17601121</f>
        <v>959844585</v>
      </c>
      <c r="L57" s="116" t="s">
        <v>1148</v>
      </c>
      <c r="M57" s="111"/>
      <c r="N57" s="116" t="s">
        <v>27</v>
      </c>
      <c r="O57" s="116" t="s">
        <v>26</v>
      </c>
      <c r="P57" s="79"/>
    </row>
    <row r="58" spans="1:16" s="7" customFormat="1" ht="24.75" customHeight="1" outlineLevel="1" x14ac:dyDescent="0.25">
      <c r="A58" s="133">
        <v>11</v>
      </c>
      <c r="B58" s="114" t="s">
        <v>2691</v>
      </c>
      <c r="C58" s="116" t="s">
        <v>31</v>
      </c>
      <c r="D58" s="113" t="s">
        <v>2688</v>
      </c>
      <c r="E58" s="134">
        <v>43313</v>
      </c>
      <c r="F58" s="134">
        <v>43449</v>
      </c>
      <c r="G58" s="147">
        <f t="shared" si="3"/>
        <v>4.5333333333333332</v>
      </c>
      <c r="H58" s="114" t="s">
        <v>2677</v>
      </c>
      <c r="I58" s="113" t="s">
        <v>163</v>
      </c>
      <c r="J58" s="113" t="s">
        <v>172</v>
      </c>
      <c r="K58" s="115">
        <v>243078203</v>
      </c>
      <c r="L58" s="116" t="s">
        <v>1148</v>
      </c>
      <c r="M58" s="111"/>
      <c r="N58" s="116" t="s">
        <v>27</v>
      </c>
      <c r="O58" s="116" t="s">
        <v>26</v>
      </c>
      <c r="P58" s="79"/>
    </row>
    <row r="59" spans="1:16" s="7" customFormat="1" ht="24.75" customHeight="1" outlineLevel="1" x14ac:dyDescent="0.25">
      <c r="A59" s="133">
        <v>12</v>
      </c>
      <c r="B59" s="114" t="s">
        <v>2691</v>
      </c>
      <c r="C59" s="116" t="s">
        <v>31</v>
      </c>
      <c r="D59" s="113" t="s">
        <v>2689</v>
      </c>
      <c r="E59" s="134">
        <v>43450</v>
      </c>
      <c r="F59" s="134">
        <v>43921</v>
      </c>
      <c r="G59" s="147">
        <f t="shared" si="3"/>
        <v>15.7</v>
      </c>
      <c r="H59" s="114" t="s">
        <v>2677</v>
      </c>
      <c r="I59" s="113" t="s">
        <v>163</v>
      </c>
      <c r="J59" s="113" t="s">
        <v>172</v>
      </c>
      <c r="K59" s="115">
        <v>687662906</v>
      </c>
      <c r="L59" s="116" t="s">
        <v>1148</v>
      </c>
      <c r="M59" s="111"/>
      <c r="N59" s="116" t="s">
        <v>27</v>
      </c>
      <c r="O59" s="65" t="s">
        <v>1148</v>
      </c>
      <c r="P59" s="79"/>
    </row>
    <row r="60" spans="1:16" s="7" customFormat="1" ht="24.75" customHeight="1" outlineLevel="1" x14ac:dyDescent="0.25">
      <c r="A60" s="133">
        <v>13</v>
      </c>
      <c r="B60" s="114" t="s">
        <v>2691</v>
      </c>
      <c r="C60" s="116" t="s">
        <v>31</v>
      </c>
      <c r="D60" s="113" t="s">
        <v>2690</v>
      </c>
      <c r="E60" s="134">
        <v>43922</v>
      </c>
      <c r="F60" s="134">
        <v>44165</v>
      </c>
      <c r="G60" s="147">
        <f t="shared" si="3"/>
        <v>8.1</v>
      </c>
      <c r="H60" s="114" t="s">
        <v>2677</v>
      </c>
      <c r="I60" s="113" t="s">
        <v>163</v>
      </c>
      <c r="J60" s="113" t="s">
        <v>172</v>
      </c>
      <c r="K60" s="115">
        <v>442876507</v>
      </c>
      <c r="L60" s="116" t="s">
        <v>1148</v>
      </c>
      <c r="M60" s="111"/>
      <c r="N60" s="116" t="s">
        <v>1151</v>
      </c>
      <c r="O60" s="65" t="s">
        <v>1148</v>
      </c>
      <c r="P60" s="79"/>
    </row>
    <row r="61" spans="1:16" s="7" customFormat="1" ht="24.75" customHeight="1" outlineLevel="1" x14ac:dyDescent="0.25">
      <c r="A61" s="133">
        <v>14</v>
      </c>
      <c r="B61" s="64"/>
      <c r="C61" s="65"/>
      <c r="D61" s="63"/>
      <c r="E61" s="134"/>
      <c r="F61" s="134"/>
      <c r="G61" s="147" t="str">
        <f t="shared" si="3"/>
        <v/>
      </c>
      <c r="H61" s="64"/>
      <c r="I61" s="63"/>
      <c r="J61" s="63"/>
      <c r="K61" s="66"/>
      <c r="L61" s="65"/>
      <c r="M61" s="67"/>
      <c r="N61" s="65"/>
      <c r="O61" s="65"/>
      <c r="P61" s="79"/>
    </row>
    <row r="62" spans="1:16" s="7" customFormat="1" ht="24.75" customHeight="1" outlineLevel="1" x14ac:dyDescent="0.25">
      <c r="A62" s="133">
        <v>15</v>
      </c>
      <c r="B62" s="64"/>
      <c r="C62" s="65"/>
      <c r="D62" s="63"/>
      <c r="E62" s="134"/>
      <c r="F62" s="134"/>
      <c r="G62" s="147" t="str">
        <f t="shared" si="3"/>
        <v/>
      </c>
      <c r="H62" s="64"/>
      <c r="I62" s="63"/>
      <c r="J62" s="63"/>
      <c r="K62" s="66"/>
      <c r="L62" s="65"/>
      <c r="M62" s="67"/>
      <c r="N62" s="65"/>
      <c r="O62" s="65"/>
      <c r="P62" s="79"/>
    </row>
    <row r="63" spans="1:16" s="7" customFormat="1" ht="24.75" customHeight="1" outlineLevel="1" x14ac:dyDescent="0.25">
      <c r="A63" s="133">
        <v>16</v>
      </c>
      <c r="B63" s="64"/>
      <c r="C63" s="65"/>
      <c r="D63" s="63"/>
      <c r="E63" s="134"/>
      <c r="F63" s="134"/>
      <c r="G63" s="147" t="str">
        <f t="shared" si="3"/>
        <v/>
      </c>
      <c r="H63" s="64"/>
      <c r="I63" s="63"/>
      <c r="J63" s="63"/>
      <c r="K63" s="66"/>
      <c r="L63" s="65"/>
      <c r="M63" s="67"/>
      <c r="N63" s="65"/>
      <c r="O63" s="65"/>
      <c r="P63" s="79"/>
    </row>
    <row r="64" spans="1:16" s="7" customFormat="1" ht="24.75" customHeight="1" outlineLevel="1" x14ac:dyDescent="0.25">
      <c r="A64" s="133">
        <v>17</v>
      </c>
      <c r="B64" s="64"/>
      <c r="C64" s="65"/>
      <c r="D64" s="63"/>
      <c r="E64" s="134"/>
      <c r="F64" s="134"/>
      <c r="G64" s="147" t="str">
        <f t="shared" si="3"/>
        <v/>
      </c>
      <c r="H64" s="64"/>
      <c r="I64" s="63"/>
      <c r="J64" s="63"/>
      <c r="K64" s="66"/>
      <c r="L64" s="65"/>
      <c r="M64" s="67"/>
      <c r="N64" s="65"/>
      <c r="O64" s="65"/>
      <c r="P64" s="79"/>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2665</v>
      </c>
      <c r="C114" s="150" t="s">
        <v>31</v>
      </c>
      <c r="D114" s="113" t="s">
        <v>2693</v>
      </c>
      <c r="E114" s="134">
        <v>44169</v>
      </c>
      <c r="F114" s="134">
        <v>44773</v>
      </c>
      <c r="G114" s="147">
        <f>IF(AND(E114&lt;&gt;"",F114&lt;&gt;""),((F114-E114)/30),"")</f>
        <v>20.133333333333333</v>
      </c>
      <c r="H114" s="114" t="s">
        <v>2677</v>
      </c>
      <c r="I114" s="113" t="s">
        <v>163</v>
      </c>
      <c r="J114" s="113" t="s">
        <v>172</v>
      </c>
      <c r="K114" s="115">
        <v>1059635473</v>
      </c>
      <c r="L114" s="100" t="e">
        <f>+IF(AND(K114&gt;0,O114="Ejecución"),(K114/877802)*Tabla28[[#This Row],[% participación]],IF(AND(K114&gt;0,O114&lt;&gt;"Ejecución"),"-",""))</f>
        <v>#VALUE!</v>
      </c>
      <c r="M114" s="116" t="s">
        <v>1148</v>
      </c>
      <c r="N114" s="160" t="str">
        <f>+IF(M118="No",1,IF(M118="Si","Ingrese %",""))</f>
        <v/>
      </c>
      <c r="O114" s="149" t="s">
        <v>1150</v>
      </c>
      <c r="P114" s="78"/>
    </row>
    <row r="115" spans="1:16" s="6" customFormat="1" ht="24.75" customHeight="1" x14ac:dyDescent="0.25">
      <c r="A115" s="132">
        <v>2</v>
      </c>
      <c r="B115" s="148" t="s">
        <v>2665</v>
      </c>
      <c r="C115" s="150" t="s">
        <v>31</v>
      </c>
      <c r="D115" s="63"/>
      <c r="E115" s="134"/>
      <c r="F115" s="134"/>
      <c r="G115" s="147" t="str">
        <f t="shared" ref="G115:G116" si="4">IF(AND(E115&lt;&gt;"",F115&lt;&gt;""),((F115-E115)/30),"")</f>
        <v/>
      </c>
      <c r="H115" s="64"/>
      <c r="I115" s="63"/>
      <c r="J115" s="63"/>
      <c r="K115" s="68"/>
      <c r="L115" s="100" t="str">
        <f>+IF(AND(K115&gt;0,O115="Ejecución"),(K115/877802)*Tabla28[[#This Row],[% participación]],IF(AND(K115&gt;0,O115&lt;&gt;"Ejecución"),"-",""))</f>
        <v/>
      </c>
      <c r="M115" s="65"/>
      <c r="N115" s="160" t="str">
        <f>+IF(M118="No",1,IF(M118="Si","Ingrese %",""))</f>
        <v/>
      </c>
      <c r="O115" s="149" t="s">
        <v>1150</v>
      </c>
      <c r="P115" s="78"/>
    </row>
    <row r="116" spans="1:16" s="6" customFormat="1" ht="24.75" customHeight="1" x14ac:dyDescent="0.25">
      <c r="A116" s="132">
        <v>3</v>
      </c>
      <c r="B116" s="148" t="s">
        <v>2665</v>
      </c>
      <c r="C116" s="150" t="s">
        <v>31</v>
      </c>
      <c r="D116" s="63"/>
      <c r="E116" s="134"/>
      <c r="F116" s="134"/>
      <c r="G116" s="147" t="str">
        <f t="shared" si="4"/>
        <v/>
      </c>
      <c r="H116" s="64"/>
      <c r="I116" s="63"/>
      <c r="J116" s="63"/>
      <c r="K116" s="68"/>
      <c r="L116" s="100" t="str">
        <f>+IF(AND(K116&gt;0,O116="Ejecución"),(K116/877802)*Tabla28[[#This Row],[% participación]],IF(AND(K116&gt;0,O116&lt;&gt;"Ejecución"),"-",""))</f>
        <v/>
      </c>
      <c r="M116" s="65"/>
      <c r="N116" s="160" t="str">
        <f>+IF(M118="No",1,IF(M118="Si","Ingrese %",""))</f>
        <v/>
      </c>
      <c r="O116" s="149" t="s">
        <v>1150</v>
      </c>
      <c r="P116" s="78"/>
    </row>
    <row r="117" spans="1:16" s="6" customFormat="1" ht="24.75" customHeight="1" outlineLevel="1" x14ac:dyDescent="0.25">
      <c r="A117" s="132">
        <v>4</v>
      </c>
      <c r="B117" s="148" t="s">
        <v>2665</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2665</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2665</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2665</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2665</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2665</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2665</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2665</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2665</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2665</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2665</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2665</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2665</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2665</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2665</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2665</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2665</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2665</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2665</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2665</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2665</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2665</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2665</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2665</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2665</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2665</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2665</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2665</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2665</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2665</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2665</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2665</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2665</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2665</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2665</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2665</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2665</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2665</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2665</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2665</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2665</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2665</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2665</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2665</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4"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1"/>
      <c r="Z178" s="152" t="str">
        <f>IF(Y178&gt;0,SUM(E180+Y178),"")</f>
        <v/>
      </c>
      <c r="AA178" s="19"/>
      <c r="AB178" s="19"/>
    </row>
    <row r="179" spans="1:28" ht="23.25" x14ac:dyDescent="0.25">
      <c r="A179" s="9"/>
      <c r="B179" s="182" t="s">
        <v>2669</v>
      </c>
      <c r="C179" s="182"/>
      <c r="D179" s="182"/>
      <c r="E179" s="158">
        <v>0.02</v>
      </c>
      <c r="F179" s="157">
        <v>0.02</v>
      </c>
      <c r="G179" s="152">
        <f>IF(F179&gt;0,SUM(E179+F179),"")</f>
        <v>0.04</v>
      </c>
      <c r="H179" s="5"/>
      <c r="I179" s="182" t="s">
        <v>2671</v>
      </c>
      <c r="J179" s="182"/>
      <c r="K179" s="182"/>
      <c r="L179" s="182"/>
      <c r="M179" s="159">
        <v>0.04</v>
      </c>
      <c r="O179" s="8"/>
      <c r="Q179" s="19"/>
      <c r="R179" s="146">
        <f>IF(M179&gt;0,SUM(L179+M179),"")</f>
        <v>0.04</v>
      </c>
      <c r="T179" s="19"/>
      <c r="U179" s="228" t="s">
        <v>1166</v>
      </c>
      <c r="V179" s="228"/>
      <c r="W179" s="228"/>
      <c r="X179" s="24">
        <v>0.02</v>
      </c>
      <c r="Y179" s="151"/>
      <c r="Z179" s="152" t="str">
        <f>IF(Y179&gt;0,SUM(E181+Y179),"")</f>
        <v/>
      </c>
      <c r="AA179" s="19"/>
      <c r="AB179" s="19"/>
    </row>
    <row r="180" spans="1:28" ht="23.25" hidden="1" x14ac:dyDescent="0.25">
      <c r="A180" s="9"/>
      <c r="B180" s="168"/>
      <c r="C180" s="168"/>
      <c r="D180" s="168"/>
      <c r="E180" s="156"/>
      <c r="H180" s="5"/>
      <c r="I180" s="168"/>
      <c r="J180" s="168"/>
      <c r="K180" s="168"/>
      <c r="L180" s="168"/>
      <c r="M180" s="5"/>
      <c r="O180" s="8"/>
      <c r="Q180" s="19"/>
      <c r="R180" s="146" t="str">
        <f>IF(S180&gt;0,SUM(L180+S180),"")</f>
        <v/>
      </c>
      <c r="S180" s="151"/>
      <c r="T180" s="19"/>
      <c r="U180" s="228" t="s">
        <v>1167</v>
      </c>
      <c r="V180" s="228"/>
      <c r="W180" s="228"/>
      <c r="X180" s="24">
        <v>0.03</v>
      </c>
      <c r="Y180" s="151"/>
      <c r="Z180" s="152" t="str">
        <f>IF(Y180&gt;0,SUM(E182+Y180),"")</f>
        <v/>
      </c>
      <c r="AA180" s="19"/>
      <c r="AB180" s="19"/>
    </row>
    <row r="181" spans="1:28" ht="23.25" hidden="1" x14ac:dyDescent="0.25">
      <c r="A181" s="9"/>
      <c r="B181" s="168"/>
      <c r="C181" s="168"/>
      <c r="D181" s="168"/>
      <c r="E181" s="156"/>
      <c r="H181" s="5"/>
      <c r="I181" s="168"/>
      <c r="J181" s="168"/>
      <c r="K181" s="168"/>
      <c r="L181" s="168"/>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8"/>
      <c r="C182" s="168"/>
      <c r="D182" s="168"/>
      <c r="E182" s="156"/>
      <c r="H182" s="5"/>
      <c r="I182" s="168"/>
      <c r="J182" s="168"/>
      <c r="K182" s="168"/>
      <c r="L182" s="168"/>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6" t="str">
        <f>IF(S183&gt;0,SUM(L183+S183),"")</f>
        <v/>
      </c>
      <c r="S183" s="15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3">
        <f>+SUM(G179:G182)</f>
        <v>0.04</v>
      </c>
      <c r="D185" s="91" t="s">
        <v>2628</v>
      </c>
      <c r="E185" s="94">
        <f>+(C185*SUM(K20:K35))</f>
        <v>19738206.240000002</v>
      </c>
      <c r="F185" s="92"/>
      <c r="G185" s="93"/>
      <c r="H185" s="88"/>
      <c r="I185" s="90" t="s">
        <v>2627</v>
      </c>
      <c r="J185" s="153">
        <f>+SUM(M179:M183)</f>
        <v>0.04</v>
      </c>
      <c r="K185" s="227" t="s">
        <v>2628</v>
      </c>
      <c r="L185" s="227"/>
      <c r="M185" s="94">
        <f>+J185*(SUM(K20:K35))</f>
        <v>19738206.240000002</v>
      </c>
      <c r="N185" s="95"/>
      <c r="O185" s="96"/>
    </row>
    <row r="186" spans="1:28" ht="15.75" thickBot="1" x14ac:dyDescent="0.3">
      <c r="A186" s="10"/>
      <c r="B186" s="97"/>
      <c r="C186" s="97"/>
      <c r="D186" s="97"/>
      <c r="E186" s="97"/>
      <c r="F186" s="97"/>
      <c r="G186" s="97"/>
      <c r="H186" s="97"/>
      <c r="I186" s="155"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6" t="s">
        <v>2636</v>
      </c>
      <c r="C192" s="186"/>
      <c r="E192" s="5" t="s">
        <v>20</v>
      </c>
      <c r="H192" s="26" t="s">
        <v>24</v>
      </c>
      <c r="J192" s="5" t="s">
        <v>2637</v>
      </c>
      <c r="K192" s="5"/>
      <c r="M192" s="5"/>
      <c r="N192" s="5"/>
      <c r="O192" s="8"/>
      <c r="Q192" s="141"/>
      <c r="R192" s="142"/>
      <c r="S192" s="142"/>
      <c r="T192" s="141"/>
    </row>
    <row r="193" spans="1:18" x14ac:dyDescent="0.25">
      <c r="A193" s="9"/>
      <c r="C193" s="164">
        <v>32658</v>
      </c>
      <c r="D193" s="5"/>
      <c r="E193" s="165">
        <v>583</v>
      </c>
      <c r="F193" s="5"/>
      <c r="G193" s="5"/>
      <c r="H193" s="166" t="s">
        <v>2694</v>
      </c>
      <c r="J193" s="5"/>
      <c r="K193" s="164">
        <v>32875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2695</v>
      </c>
      <c r="J211" s="27" t="s">
        <v>2622</v>
      </c>
      <c r="K211" s="167" t="s">
        <v>2695</v>
      </c>
      <c r="L211" s="21"/>
      <c r="M211" s="21"/>
      <c r="N211" s="21"/>
      <c r="O211" s="8"/>
    </row>
    <row r="212" spans="1:15" x14ac:dyDescent="0.25">
      <c r="A212" s="9"/>
      <c r="B212" s="27" t="s">
        <v>2619</v>
      </c>
      <c r="C212" s="166" t="s">
        <v>2694</v>
      </c>
      <c r="D212" s="21"/>
      <c r="G212" s="27" t="s">
        <v>2621</v>
      </c>
      <c r="H212" s="167" t="s">
        <v>2696</v>
      </c>
      <c r="J212" s="27" t="s">
        <v>2623</v>
      </c>
      <c r="K212" s="16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DIGITADOR 4</cp:lastModifiedBy>
  <cp:lastPrinted>2020-12-29T18:06:50Z</cp:lastPrinted>
  <dcterms:created xsi:type="dcterms:W3CDTF">2020-10-14T21:57:42Z</dcterms:created>
  <dcterms:modified xsi:type="dcterms:W3CDTF">2020-12-29T18:13:16Z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