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1541254ca865770c/Escritorio/CONTRATACION 2021/BOYACA 2021/2021-15-10000404/"/>
    </mc:Choice>
  </mc:AlternateContent>
  <xr:revisionPtr revIDLastSave="8" documentId="13_ncr:1_{5BC94337-7D7E-424E-B50C-7F0DEFE2463B}" xr6:coauthVersionLast="45" xr6:coauthVersionMax="45" xr10:uidLastSave="{FC15DD62-FB42-4A47-92B7-B7C1D35D4779}"/>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<sst xmlns="http://schemas.openxmlformats.org/spreadsheetml/2006/main" count="3616" uniqueCount="2758">
  <si>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</si>
  <si>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</si>
  <si>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</si>
  <si>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</si>
  <si>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</si>
  <si>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</si>
  <si>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</si>
  <si>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</si>
  <si>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</si>
  <si>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</si>
  <si>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</si>
  <si>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</si>
  <si>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</si>
  <si>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</si>
  <si>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</si>
  <si>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</si>
  <si>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</si>
  <si>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</si>
  <si>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</si>
  <si>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</si>
  <si>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</si>
  <si>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</si>
  <si>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</si>
  <si>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</si>
  <si>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</si>
  <si>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</si>
  <si>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</si>
  <si>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</si>
  <si>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</si>
  <si>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</si>
  <si>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</si>
  <si>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</si>
  <si>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</si>
  <si>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</si>
  <si>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</si>
  <si>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</si>
  <si>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</si>
  <si>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</si>
  <si>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</si>
  <si>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</si>
  <si>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</si>
  <si>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</si>
  <si>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</si>
  <si>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</si>
  <si>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</si>
  <si>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</si>
  <si>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</si>
  <si>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</si>
  <si>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</si>
  <si>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</si>
  <si>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</si>
  <si>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</si>
  <si>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</si>
  <si>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</si>
  <si>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</si>
  <si>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</si>
  <si>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</si>
  <si>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</si>
  <si>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</si>
  <si>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</si>
  <si>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</si>
  <si>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</si>
  <si>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</si>
  <si>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</si>
  <si>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</si>
  <si>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</si>
  <si>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</si>
  <si>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</si>
  <si>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</si>
  <si>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</si>
  <si>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</si>
  <si>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</si>
  <si>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</si>
  <si>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</si>
  <si>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</si>
  <si>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</si>
  <si>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</si>
  <si>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</si>
  <si>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</si>
  <si>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</si>
  <si>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</si>
  <si>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</si>
  <si>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</si>
  <si>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</si>
  <si>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</si>
  <si>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</si>
  <si>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</si>
  <si>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</si>
  <si>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</si>
  <si>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</si>
  <si>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</si>
  <si>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</si>
  <si>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</si>
  <si>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</si>
  <si>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</si>
  <si>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</si>
  <si>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</si>
  <si>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</si>
  <si>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</si>
  <si>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</si>
  <si>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</si>
  <si>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</si>
  <si>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</si>
  <si>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</si>
  <si>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</si>
  <si>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</si>
  <si>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</si>
  <si>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</si>
  <si>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</si>
  <si>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</si>
  <si>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</si>
  <si>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</si>
  <si>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</si>
  <si>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</si>
  <si>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</si>
  <si>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</si>
  <si>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</si>
  <si>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</si>
  <si>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</si>
  <si>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</si>
  <si>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</si>
  <si>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</si>
  <si>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</si>
  <si>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</si>
  <si>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</si>
  <si>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</si>
  <si>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</si>
  <si>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</si>
  <si>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</si>
  <si>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</si>
  <si>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</si>
  <si>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</si>
  <si>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</si>
  <si>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</si>
  <si>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</si>
  <si>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</si>
  <si>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</si>
  <si>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</si>
  <si>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</si>
  <si>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</si>
  <si>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</si>
  <si>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</si>
  <si>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</si>
  <si>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</si>
  <si>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</si>
  <si>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</si>
  <si>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</si>
  <si>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</si>
  <si>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</si>
  <si>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</si>
  <si>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</si>
  <si>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</si>
  <si>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</si>
  <si>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</si>
  <si>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</si>
  <si>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</si>
  <si>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</si>
  <si>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</si>
  <si>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</si>
  <si>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</si>
  <si>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</si>
  <si>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</si>
  <si>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</si>
  <si>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</si>
  <si>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</si>
  <si>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</si>
  <si>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</si>
  <si>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</si>
  <si>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</si>
  <si>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</si>
  <si>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</si>
  <si>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</si>
  <si>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</si>
  <si>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</si>
  <si>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</si>
  <si>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</si>
  <si>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</si>
  <si>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</si>
  <si>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</si>
  <si>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</si>
  <si>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</si>
  <si>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</si>
  <si>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</si>
  <si>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</si>
  <si>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</si>
  <si>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</si>
  <si>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</si>
  <si>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</si>
  <si>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</si>
  <si>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</si>
  <si>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</si>
  <si>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</si>
  <si>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</si>
  <si>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</si>
  <si>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</si>
  <si>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</si>
  <si>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</si>
  <si>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</si>
  <si>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</si>
  <si>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</si>
  <si>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</si>
  <si>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</si>
  <si>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</si>
  <si>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</si>
  <si>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</si>
  <si>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</si>
  <si>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</si>
  <si>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</si>
  <si>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</si>
  <si>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</si>
  <si>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</si>
  <si>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</si>
  <si>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</si>
  <si>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</si>
  <si>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</si>
  <si>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</si>
  <si>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</si>
  <si>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</si>
  <si>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</si>
  <si>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</si>
  <si>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</si>
  <si>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</si>
  <si>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</si>
  <si>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</si>
  <si>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</si>
  <si>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</si>
  <si>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</si>
  <si>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</si>
  <si>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</si>
  <si>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</si>
  <si>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</si>
  <si>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</si>
  <si>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</si>
  <si>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</si>
  <si>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</si>
  <si>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</si>
  <si>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</si>
  <si>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</si>
  <si>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</si>
  <si>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</si>
  <si>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</si>
  <si>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</si>
  <si>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</si>
  <si>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</si>
  <si>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</si>
  <si>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</si>
  <si>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</si>
  <si>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</si>
  <si>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</si>
  <si>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</si>
  <si>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</si>
  <si>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</si>
  <si>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</si>
  <si>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</si>
  <si>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</si>
  <si>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</si>
  <si>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</si>
  <si>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</si>
  <si>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</si>
  <si>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</si>
  <si>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</si>
  <si>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</si>
  <si>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</si>
  <si>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</si>
  <si>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</si>
  <si>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</si>
  <si>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</si>
  <si>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</si>
  <si>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</si>
  <si>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</si>
  <si>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</si>
  <si>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</si>
  <si>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</si>
  <si>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</si>
  <si>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</si>
  <si>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</si>
  <si>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</si>
  <si>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</si>
  <si>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</si>
  <si>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</si>
  <si>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</si>
  <si>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</si>
  <si>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</si>
  <si>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</si>
  <si>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</si>
  <si>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</si>
  <si>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</si>
  <si>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</si>
  <si>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</si>
  <si>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</si>
  <si>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</si>
  <si>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</si>
  <si>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</si>
  <si>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</si>
  <si>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</si>
  <si>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</si>
  <si>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</si>
  <si>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</si>
  <si>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</si>
  <si>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</si>
  <si>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</si>
  <si>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</si>
  <si>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</si>
  <si>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</si>
  <si>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</si>
  <si>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</si>
  <si>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</si>
  <si>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</si>
  <si>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</si>
  <si>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</si>
  <si>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</si>
  <si>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</si>
  <si>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</si>
  <si>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</si>
  <si>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</si>
  <si>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</si>
  <si>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</si>
  <si>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</si>
  <si>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</si>
  <si>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</si>
  <si>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</si>
  <si>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</si>
  <si>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</si>
  <si>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</si>
  <si>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</si>
  <si>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</si>
  <si>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</si>
  <si>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</si>
  <si>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</si>
  <si>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</si>
  <si>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</si>
  <si>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</si>
  <si>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</si>
  <si>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</si>
  <si>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</si>
  <si>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</si>
  <si>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</si>
  <si>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</si>
  <si>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</si>
  <si>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</si>
  <si>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</si>
  <si>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</si>
  <si>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</si>
  <si>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</si>
  <si>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</si>
  <si>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</si>
  <si>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</si>
  <si>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</si>
  <si>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</si>
  <si>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</si>
  <si>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</si>
  <si>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</si>
  <si>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</si>
  <si>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</si>
  <si>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</si>
  <si>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</si>
  <si>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</si>
  <si>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</si>
  <si>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</si>
  <si>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</si>
  <si>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</si>
  <si>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</si>
  <si>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</si>
  <si>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</si>
  <si>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</si>
  <si>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</si>
  <si>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</si>
  <si>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</si>
  <si>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</si>
  <si>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</si>
  <si>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</si>
  <si>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</si>
  <si>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</si>
  <si>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</si>
  <si>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</si>
  <si>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</si>
  <si>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</si>
  <si>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</si>
  <si>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</si>
  <si>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</si>
  <si>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</si>
  <si>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</si>
  <si>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</si>
  <si>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</si>
  <si>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</si>
  <si>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</si>
  <si>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</si>
  <si>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</si>
  <si>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</si>
  <si>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</si>
  <si>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</si>
  <si>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</si>
  <si>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</si>
  <si>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</si>
  <si>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</si>
  <si>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</si>
  <si>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</si>
  <si>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</si>
  <si>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</si>
  <si>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</si>
  <si>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</si>
  <si>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</si>
  <si>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</si>
  <si>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</si>
  <si>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</si>
  <si>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</si>
  <si>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</si>
  <si>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</si>
  <si>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</si>
  <si>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</si>
  <si>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</si>
  <si>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</si>
  <si>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</si>
  <si>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</si>
  <si>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</si>
  <si>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</si>
  <si>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</si>
  <si>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</si>
  <si>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</si>
  <si>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</si>
  <si>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</si>
  <si>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</si>
  <si>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</si>
  <si>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</si>
  <si>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</si>
  <si>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</si>
  <si>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</si>
  <si>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</si>
  <si>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</si>
  <si>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</si>
  <si>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</si>
  <si>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</si>
  <si>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</si>
  <si>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</si>
  <si>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</si>
  <si>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</si>
  <si>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</si>
  <si>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</si>
  <si>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</si>
  <si>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</si>
  <si>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</si>
  <si>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</si>
  <si>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</si>
  <si>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</si>
  <si>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</si>
  <si>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</si>
  <si>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</si>
  <si>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</si>
  <si>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</si>
  <si>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</si>
  <si>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</si>
  <si>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</si>
  <si>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</si>
  <si>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</si>
  <si>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</si>
  <si>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</si>
  <si>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</si>
  <si>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</si>
  <si>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</si>
  <si>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</si>
  <si>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</si>
  <si>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</si>
  <si>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</si>
  <si>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</si>
  <si>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</si>
  <si>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</si>
  <si>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</si>
  <si>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</si>
  <si>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</si>
  <si>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</si>
  <si>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</si>
  <si>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</si>
  <si>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</si>
  <si>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</si>
  <si>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</si>
  <si>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</si>
  <si>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</si>
  <si>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</si>
  <si>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</si>
  <si>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</si>
  <si>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</si>
  <si>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</si>
  <si>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</si>
  <si>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</si>
  <si>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</si>
  <si>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</si>
  <si>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</si>
  <si>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</si>
  <si>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</si>
  <si>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</si>
  <si>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</si>
  <si>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</si>
  <si>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</si>
  <si>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</si>
  <si>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</si>
  <si>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</si>
  <si>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</si>
  <si>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</si>
  <si>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</si>
  <si>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</si>
  <si>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</si>
  <si>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</si>
  <si>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</si>
  <si>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</si>
  <si>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</si>
  <si>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</si>
  <si>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</si>
  <si>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</si>
  <si>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</si>
  <si>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</si>
  <si>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</si>
  <si>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</si>
  <si>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</si>
  <si>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</si>
  <si>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</si>
  <si>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</si>
  <si>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</si>
  <si>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</si>
  <si>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</si>
  <si>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</si>
  <si>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</si>
  <si>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</si>
  <si>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</si>
  <si>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</si>
  <si>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</si>
  <si>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</si>
  <si>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</si>
  <si>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</si>
  <si>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</si>
  <si>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</si>
  <si>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</si>
  <si>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</si>
  <si>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</si>
  <si>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</si>
  <si>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</si>
  <si>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</si>
  <si>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</si>
  <si>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</si>
  <si>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</si>
  <si>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</si>
  <si>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</si>
  <si>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</si>
  <si>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</si>
  <si>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</si>
  <si>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</si>
  <si>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</si>
  <si>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</si>
  <si>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</si>
  <si>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</si>
  <si>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</si>
  <si>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</si>
  <si>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</si>
  <si>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</si>
  <si>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</si>
  <si>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</si>
  <si>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</si>
  <si>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</si>
  <si>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</si>
  <si>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</si>
  <si>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</si>
  <si>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</si>
  <si>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</si>
  <si>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</si>
  <si>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</si>
  <si>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</si>
  <si>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</si>
  <si>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</si>
  <si>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</si>
  <si>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</si>
  <si>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</si>
  <si>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</si>
  <si>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</si>
  <si>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</si>
  <si>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</si>
  <si>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</si>
  <si>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</si>
  <si>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</si>
  <si>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</si>
  <si>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</si>
  <si>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</si>
  <si>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</si>
  <si>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</si>
  <si>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</si>
  <si>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</si>
  <si>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</si>
  <si>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</si>
  <si>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</si>
  <si>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</si>
  <si>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</si>
  <si>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</si>
  <si>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</si>
  <si>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</si>
  <si>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</si>
  <si>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</si>
  <si>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</si>
  <si>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</si>
  <si>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</si>
  <si>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</si>
  <si>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</si>
  <si>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</si>
  <si>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</si>
  <si>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</si>
  <si>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</si>
  <si>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</si>
  <si>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</si>
  <si>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</si>
  <si>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</si>
  <si>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</si>
  <si>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</si>
  <si>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</si>
  <si>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</si>
  <si>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</si>
  <si>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</si>
  <si>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</si>
  <si>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</si>
  <si>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</si>
  <si>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</si>
  <si>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</si>
  <si>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</si>
  <si>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</si>
  <si>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</si>
  <si>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</si>
  <si>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</si>
  <si>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</si>
  <si>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</si>
  <si>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</si>
  <si>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</si>
  <si>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</si>
  <si>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</si>
  <si>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</si>
  <si>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</si>
  <si>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</si>
  <si>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</si>
  <si>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</si>
  <si>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</si>
  <si>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</si>
  <si>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</si>
  <si>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</si>
  <si>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</si>
  <si>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</si>
  <si>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</si>
  <si>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</si>
  <si>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</si>
  <si>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</si>
  <si>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</si>
  <si>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</si>
  <si>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</si>
  <si>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</si>
  <si>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</si>
  <si>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</si>
  <si>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</si>
  <si>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</si>
  <si>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</si>
  <si>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</si>
  <si>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</si>
  <si>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</si>
  <si>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</si>
  <si>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</si>
  <si>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</si>
  <si>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</si>
  <si>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</si>
  <si>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</si>
  <si>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</si>
  <si>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</si>
  <si>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</si>
  <si>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</si>
  <si>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</si>
  <si>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</si>
  <si>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</si>
  <si>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</si>
  <si>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</si>
  <si>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</si>
  <si>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</si>
  <si>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</si>
  <si>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</si>
  <si>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</si>
  <si>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</si>
  <si>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</si>
  <si>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</si>
  <si>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</si>
  <si>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</si>
  <si>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</si>
  <si>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</si>
  <si>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</si>
  <si>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</si>
  <si>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</si>
  <si>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</si>
  <si>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</si>
  <si>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</si>
  <si>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</si>
  <si>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</si>
  <si>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</si>
  <si>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</si>
  <si>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</si>
  <si>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</si>
  <si>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</si>
  <si>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</si>
  <si>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</si>
  <si>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</si>
  <si>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</si>
  <si>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</si>
  <si>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</si>
  <si>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</si>
  <si>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</si>
  <si>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</si>
  <si>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</si>
  <si>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</si>
  <si>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</si>
  <si>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</si>
  <si>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</si>
  <si>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</si>
  <si>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</si>
  <si>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</si>
  <si>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</si>
  <si>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</si>
  <si>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</si>
  <si>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</si>
  <si>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</si>
  <si>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</si>
  <si>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</si>
  <si>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</si>
  <si>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</si>
  <si>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</si>
  <si>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</si>
  <si>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</si>
  <si>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</si>
  <si>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</si>
  <si>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</si>
  <si>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</si>
  <si>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</si>
  <si>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</si>
  <si>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</si>
  <si>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</si>
  <si>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</si>
  <si>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</si>
  <si>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</si>
  <si>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</si>
  <si>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</si>
  <si>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</si>
  <si>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</si>
  <si>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</si>
  <si>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</si>
  <si>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</si>
  <si>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</si>
  <si>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</si>
  <si>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</si>
  <si>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</si>
  <si>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</si>
  <si>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</si>
  <si>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</si>
  <si>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</si>
  <si>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</si>
  <si>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</si>
  <si>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</si>
  <si>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</si>
  <si>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</si>
  <si>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</si>
  <si>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</si>
  <si>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</si>
  <si>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</si>
  <si>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</si>
  <si>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</si>
  <si>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</si>
  <si>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</si>
  <si>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</si>
  <si>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</si>
  <si>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</si>
  <si>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</si>
  <si>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</si>
  <si>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</si>
  <si>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</si>
  <si>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</si>
  <si>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</si>
  <si>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</si>
  <si>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</si>
  <si>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</si>
  <si>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</si>
  <si>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</si>
  <si>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</si>
  <si>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</si>
  <si>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</si>
  <si>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</si>
  <si>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</si>
  <si>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</si>
  <si>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</si>
  <si>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</si>
  <si>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</si>
  <si>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</si>
  <si>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</si>
  <si>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</si>
  <si>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</si>
  <si>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</si>
  <si>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</si>
  <si>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</si>
  <si>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</si>
  <si>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</si>
  <si>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</si>
  <si>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</si>
  <si>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</si>
  <si>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</si>
  <si>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</si>
  <si>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</si>
  <si>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</si>
  <si>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</si>
  <si>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</si>
  <si>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</si>
  <si>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</si>
  <si>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</si>
  <si>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</si>
  <si>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</si>
  <si>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</si>
  <si>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</si>
  <si>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</si>
  <si>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</si>
  <si>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</si>
  <si>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</si>
  <si>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</si>
  <si>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</si>
  <si>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</si>
  <si>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</si>
  <si>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</si>
  <si>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</si>
  <si>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</si>
  <si>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</si>
  <si>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</si>
  <si>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</si>
  <si>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</si>
  <si>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</si>
  <si>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</si>
  <si>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</si>
  <si>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</si>
  <si>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</si>
  <si>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</si>
  <si>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</si>
  <si>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</si>
  <si>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</si>
  <si>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</si>
  <si>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</si>
  <si>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</si>
  <si>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</si>
  <si>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</si>
  <si>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</si>
  <si>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</si>
  <si>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</si>
  <si>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</si>
  <si>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</si>
  <si>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</si>
  <si>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</si>
  <si>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</si>
  <si>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</si>
  <si>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</si>
  <si>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</si>
  <si>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</si>
  <si>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</si>
  <si>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</si>
  <si>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</si>
  <si>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</si>
  <si>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</si>
  <si>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</si>
  <si>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</si>
  <si>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</si>
  <si>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</si>
  <si>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</si>
  <si>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</si>
  <si>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</si>
  <si>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</si>
  <si>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</si>
  <si>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</si>
  <si>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</si>
  <si>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</si>
  <si>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</si>
  <si>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</si>
  <si>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</si>
  <si>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</si>
  <si>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</si>
  <si>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</si>
  <si>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</si>
  <si>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</si>
  <si>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</si>
  <si>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</si>
  <si>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</si>
  <si>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</si>
  <si>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</si>
  <si>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</si>
  <si>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</si>
  <si>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</si>
  <si>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</si>
  <si>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</si>
  <si>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</si>
  <si>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</si>
  <si>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</si>
  <si>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</si>
  <si>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</si>
  <si>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</si>
  <si>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</si>
  <si>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</si>
  <si>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</si>
  <si>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</si>
  <si>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</si>
  <si>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</si>
  <si>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</si>
  <si>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</si>
  <si>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</si>
  <si>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</si>
  <si>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</si>
  <si>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</si>
  <si>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</si>
  <si>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</si>
  <si>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</si>
  <si>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</si>
  <si>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</si>
  <si>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</si>
  <si>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</si>
  <si>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</si>
  <si>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</si>
  <si>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</si>
  <si>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</si>
  <si>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</si>
  <si>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</si>
  <si>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</si>
  <si>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</si>
  <si>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</si>
  <si>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</si>
  <si>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</si>
  <si>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</si>
  <si>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</si>
  <si>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</si>
  <si>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</si>
  <si>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</si>
  <si>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</si>
  <si>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</si>
  <si>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</si>
  <si>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</si>
  <si>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</si>
  <si>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</si>
  <si>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</si>
  <si>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</si>
  <si>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</si>
  <si>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</si>
  <si>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</si>
  <si>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</si>
  <si>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</si>
  <si>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</si>
  <si>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</si>
  <si>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</si>
  <si>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</si>
  <si>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</si>
  <si>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</si>
  <si>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</si>
  <si>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</si>
  <si>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</si>
  <si>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</si>
  <si>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</si>
  <si>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</si>
  <si>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</si>
  <si>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</si>
  <si>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</si>
  <si>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</si>
  <si>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</si>
  <si>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</si>
  <si>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</si>
  <si>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</si>
  <si>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</si>
  <si>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</si>
  <si>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</si>
  <si>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</si>
  <si>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</si>
  <si>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</si>
  <si>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</si>
  <si>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</si>
  <si>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</si>
  <si>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</si>
  <si>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</si>
  <si>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</si>
  <si>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</si>
  <si>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</si>
  <si>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</si>
  <si>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</si>
  <si>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</si>
  <si>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</si>
  <si>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</si>
  <si>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</si>
  <si>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</si>
  <si>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</si>
  <si>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</si>
  <si>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</si>
  <si>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</si>
  <si>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</si>
  <si>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</si>
  <si>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</si>
  <si>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</si>
  <si>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</si>
  <si>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</si>
  <si>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</si>
  <si>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</si>
  <si>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</si>
  <si>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</si>
  <si>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</si>
  <si>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</si>
  <si>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</si>
  <si>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</si>
  <si>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</si>
  <si>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</si>
  <si>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</si>
  <si>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</si>
  <si>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</si>
  <si>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</si>
  <si>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</si>
  <si>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</si>
  <si>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</si>
  <si>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</si>
  <si>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</si>
  <si>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</si>
  <si>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</si>
  <si>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</si>
  <si>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</si>
  <si>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</si>
  <si>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</si>
  <si>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</si>
  <si>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</si>
  <si>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</si>
  <si>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</si>
  <si>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</si>
  <si>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</si>
  <si>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</si>
  <si>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</si>
  <si>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</si>
  <si>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</si>
  <si>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</si>
  <si>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</si>
  <si>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</si>
  <si>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</si>
  <si>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</si>
  <si>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</si>
  <si>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</si>
  <si>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</si>
  <si>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</si>
  <si>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</si>
  <si>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</si>
  <si>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</si>
  <si>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</si>
  <si>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</si>
  <si>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</si>
  <si>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</si>
  <si>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</si>
  <si>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</si>
  <si>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</si>
  <si>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</si>
  <si>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</si>
  <si>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</si>
  <si>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</si>
  <si>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</si>
  <si>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</si>
  <si>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</si>
  <si>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</si>
  <si>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</si>
  <si>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</si>
  <si>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</si>
  <si>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</si>
  <si>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</si>
  <si>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</si>
  <si>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</si>
  <si>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</si>
  <si>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</si>
  <si>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</si>
  <si>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</si>
  <si>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</si>
  <si>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</si>
  <si>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</si>
  <si>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</si>
  <si>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</si>
  <si>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</si>
  <si>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</si>
  <si>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</si>
  <si>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</si>
  <si>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</si>
  <si>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</si>
  <si>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</si>
  <si>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</si>
  <si>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</si>
  <si>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</si>
  <si>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</si>
  <si>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</si>
  <si>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</si>
  <si>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</si>
  <si>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</si>
  <si>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</si>
  <si>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</si>
  <si>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</si>
  <si>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</si>
  <si>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</si>
  <si>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</si>
  <si>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</si>
  <si>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</si>
  <si>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</si>
  <si>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</si>
  <si>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</si>
  <si>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</si>
  <si>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</si>
  <si>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</si>
  <si>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</si>
  <si>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</si>
  <si>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</si>
  <si>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</si>
  <si>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</si>
  <si>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</si>
  <si>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</si>
  <si>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</si>
  <si>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</si>
  <si>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</si>
  <si>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</si>
  <si>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</si>
  <si>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</si>
  <si>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</si>
  <si>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</si>
  <si>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</si>
  <si>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</si>
  <si>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</si>
  <si>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</si>
  <si>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</si>
  <si>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</si>
  <si>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</si>
  <si>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</si>
  <si>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</si>
  <si>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</si>
  <si>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</si>
  <si>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</si>
  <si>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</si>
  <si>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</si>
  <si>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</si>
  <si>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</si>
  <si>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</si>
  <si>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</si>
  <si>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</si>
  <si>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</si>
  <si>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</si>
  <si>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</si>
  <si>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</si>
  <si>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</si>
  <si>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</si>
  <si>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</si>
  <si>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</si>
  <si>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</si>
  <si>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</si>
  <si>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</si>
  <si>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</si>
  <si>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</si>
  <si>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</si>
  <si>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</si>
  <si>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</si>
  <si>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</si>
  <si>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</si>
  <si>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</si>
  <si>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</si>
  <si>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</si>
  <si>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</si>
  <si>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</si>
  <si>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</si>
  <si>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</si>
  <si>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</si>
  <si>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</si>
  <si>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</si>
  <si>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</si>
  <si>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</si>
  <si>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</si>
  <si>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</si>
  <si>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</si>
  <si>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</si>
  <si>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</si>
  <si>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</si>
  <si>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</si>
  <si>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</si>
  <si>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</si>
  <si>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</si>
  <si>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</si>
  <si>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</si>
  <si>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</si>
  <si>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</si>
  <si>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</si>
  <si>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</si>
  <si>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</si>
  <si>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</si>
  <si>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</si>
  <si>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</si>
  <si>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</si>
  <si>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</si>
  <si>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</si>
  <si>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</si>
  <si>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</si>
  <si>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</si>
  <si>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</si>
  <si>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</si>
  <si>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</si>
  <si>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</si>
  <si>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</si>
  <si>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</si>
  <si>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</si>
  <si>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</si>
  <si>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</si>
  <si>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</si>
  <si>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</si>
  <si>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</si>
  <si>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</si>
  <si>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</si>
  <si>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</si>
  <si>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</si>
  <si>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</si>
  <si>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</si>
  <si>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</si>
  <si>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</si>
  <si>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</si>
  <si>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</si>
  <si>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</si>
  <si>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</si>
  <si>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</si>
  <si>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</si>
  <si>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</si>
  <si>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</si>
  <si>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</si>
  <si>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</si>
  <si>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</si>
  <si>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</si>
  <si>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</si>
  <si>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</si>
  <si>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</si>
  <si>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</si>
  <si>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</si>
  <si>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</si>
  <si>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</si>
  <si>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</si>
  <si>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</si>
  <si>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</si>
  <si>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</si>
  <si>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</si>
  <si>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</si>
  <si>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</si>
  <si>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</si>
  <si>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</si>
  <si>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</si>
  <si>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</si>
  <si>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</si>
  <si>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</si>
  <si>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</si>
  <si>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</si>
  <si>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</si>
  <si>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</si>
  <si>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</si>
  <si>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</si>
  <si>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</si>
  <si>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</si>
  <si>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</si>
  <si>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</si>
  <si>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</si>
  <si>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</si>
  <si>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</si>
  <si>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</si>
  <si>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</si>
  <si>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</si>
  <si>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</si>
  <si>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</si>
  <si>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</si>
  <si>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</si>
  <si>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</si>
  <si>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</si>
  <si>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</si>
  <si>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</si>
  <si>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</si>
  <si>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</si>
  <si>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</si>
  <si>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</si>
  <si>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</si>
  <si>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</si>
  <si>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</si>
  <si>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</si>
  <si>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</si>
  <si>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</si>
  <si>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</si>
  <si>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</si>
  <si>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</si>
  <si>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</si>
  <si>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</si>
  <si>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</si>
  <si>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</si>
  <si>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</si>
  <si>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</si>
  <si>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</si>
  <si>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</si>
  <si>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</si>
  <si>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</si>
  <si>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</si>
  <si>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</si>
  <si>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</si>
  <si>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</si>
  <si>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</si>
  <si>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</si>
  <si>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</si>
  <si>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</si>
  <si>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</si>
  <si>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</si>
  <si>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</si>
  <si>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</si>
  <si>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</si>
  <si>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</si>
  <si>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</si>
  <si>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</si>
  <si>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</si>
  <si>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</si>
  <si>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</si>
  <si>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</si>
  <si>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</si>
  <si>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</si>
  <si>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</si>
  <si>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</si>
  <si>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</si>
  <si>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</si>
  <si>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</si>
  <si>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</si>
  <si>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</si>
  <si>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</si>
  <si>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</si>
  <si>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</si>
  <si>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</si>
  <si>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</si>
  <si>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</si>
  <si>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</si>
  <si>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</si>
  <si>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</si>
  <si>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</si>
  <si>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</si>
  <si>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</si>
  <si>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</si>
  <si>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</si>
  <si>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</si>
  <si>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</si>
  <si>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</si>
  <si>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</si>
  <si>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</si>
  <si>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</si>
  <si>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</si>
  <si>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</si>
  <si>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</si>
  <si>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</si>
  <si>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</si>
  <si>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</si>
  <si>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</si>
  <si>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</si>
  <si>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</si>
  <si>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</si>
  <si>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</si>
  <si>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</si>
  <si>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</si>
  <si>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</si>
  <si>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</si>
  <si>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</si>
  <si>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</si>
  <si>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</si>
  <si>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</si>
  <si>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</si>
  <si>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</si>
  <si>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</si>
  <si>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</si>
  <si>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</si>
  <si>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</si>
  <si>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</si>
  <si>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</si>
  <si>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</si>
  <si>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</si>
  <si>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</si>
  <si>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</si>
  <si>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</si>
  <si>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</si>
  <si>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</si>
  <si>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</si>
  <si>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</si>
  <si>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</si>
  <si>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</si>
  <si>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</si>
  <si>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</si>
  <si>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</si>
  <si>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</si>
  <si>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</si>
  <si>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</si>
  <si>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</si>
  <si>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</si>
  <si>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</si>
  <si>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</si>
  <si>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</si>
  <si>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</si>
  <si>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</si>
  <si>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</si>
  <si>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</si>
  <si>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</si>
  <si>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</si>
  <si>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</si>
  <si>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</si>
  <si>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</si>
  <si>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</si>
  <si>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</si>
  <si>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</si>
  <si>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</si>
  <si>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</si>
  <si>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</si>
  <si>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</si>
  <si>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</si>
  <si>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</si>
  <si>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</si>
  <si>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</si>
  <si>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</si>
  <si>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</si>
  <si>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</si>
  <si>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</si>
  <si>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</si>
  <si>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</si>
  <si>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</si>
  <si>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</si>
  <si>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</si>
  <si>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</si>
  <si>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</si>
  <si>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</si>
  <si>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</si>
  <si>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</si>
  <si>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</si>
  <si>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</si>
  <si>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</si>
  <si>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</si>
  <si>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</si>
  <si>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</si>
  <si>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</si>
  <si>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</si>
  <si>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</si>
  <si>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</si>
  <si>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</si>
  <si>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</si>
  <si>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</si>
  <si>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</si>
  <si>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</si>
  <si>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</si>
  <si>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</si>
  <si>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</si>
  <si>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</si>
  <si>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</si>
  <si>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</si>
  <si>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</si>
  <si>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</si>
  <si>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</si>
  <si>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</si>
  <si>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</si>
  <si>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</si>
  <si>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</si>
  <si>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</si>
  <si>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</si>
  <si>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</si>
  <si>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</si>
  <si>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</si>
  <si>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</si>
  <si>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</si>
  <si>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</si>
  <si>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</si>
  <si>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</si>
  <si>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</si>
  <si>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</si>
  <si>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</si>
  <si>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</si>
  <si>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</si>
  <si>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</si>
  <si>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</si>
  <si>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</si>
  <si>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</si>
  <si>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</si>
  <si>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</si>
  <si>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</si>
  <si>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</si>
  <si>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</si>
  <si>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</si>
  <si>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</si>
  <si>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</si>
  <si>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</si>
  <si>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</si>
  <si>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</si>
  <si>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</si>
  <si>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</si>
  <si>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</si>
  <si>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</si>
  <si>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</si>
  <si>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</si>
  <si>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</si>
  <si>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</si>
  <si>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</si>
  <si>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</si>
  <si>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</si>
  <si>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</si>
  <si>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</si>
  <si>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</si>
  <si>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</si>
  <si>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</si>
  <si>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</si>
  <si>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</si>
  <si>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</si>
  <si>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</si>
  <si>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</si>
  <si>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</si>
  <si>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</si>
  <si>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</si>
  <si>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</si>
  <si>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</si>
  <si>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</si>
  <si>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</si>
  <si>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</si>
  <si>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</si>
  <si>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</si>
  <si>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</si>
  <si>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</si>
  <si>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</si>
  <si>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</si>
  <si>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</si>
  <si>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</si>
  <si>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</si>
  <si>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</si>
  <si>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</si>
  <si>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</si>
  <si>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</si>
  <si>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</si>
  <si>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</si>
  <si>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</si>
  <si>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</si>
  <si>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</si>
  <si>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</si>
  <si>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</si>
  <si>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</si>
  <si>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</si>
  <si>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</si>
  <si>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</si>
  <si>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</si>
  <si>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</si>
  <si>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</si>
  <si>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</si>
  <si>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</si>
  <si>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</si>
  <si>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</si>
  <si>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</si>
  <si>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</si>
  <si>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</si>
  <si>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</si>
  <si>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</si>
  <si>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</si>
  <si>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</si>
  <si>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</si>
  <si>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</si>
  <si>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</si>
  <si>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</si>
  <si>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</si>
  <si>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</si>
  <si>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</si>
  <si>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</si>
  <si>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</si>
  <si>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</si>
  <si>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</si>
  <si>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</si>
  <si>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</si>
  <si>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</si>
  <si>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</si>
  <si>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</si>
  <si>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</si>
  <si>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</si>
  <si>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</si>
  <si>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</si>
  <si>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</si>
  <si>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</si>
  <si>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</si>
  <si>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</si>
  <si>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</si>
  <si>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</si>
  <si>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</si>
  <si>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</si>
  <si>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</si>
  <si>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</si>
  <si>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</si>
  <si>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</si>
  <si>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</si>
  <si>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</si>
  <si>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</si>
  <si>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</si>
  <si>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</si>
  <si>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</si>
  <si>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</si>
  <si>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</si>
  <si>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</si>
  <si>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</si>
  <si>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</si>
  <si>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</si>
  <si>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</si>
  <si>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</si>
  <si>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</si>
  <si>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</si>
  <si>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</si>
  <si>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</si>
  <si>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</si>
  <si>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</si>
  <si>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</si>
  <si>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</si>
  <si>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</si>
  <si>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</si>
  <si>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</si>
  <si>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</si>
  <si>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</si>
  <si>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</si>
  <si>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</si>
  <si>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</si>
  <si>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</si>
  <si>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</si>
  <si>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</si>
  <si>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</si>
  <si>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</si>
  <si>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</si>
  <si>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</si>
  <si>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</si>
  <si>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</si>
  <si>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</si>
  <si>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</si>
  <si>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</si>
  <si>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</si>
  <si>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</si>
  <si>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</si>
  <si>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</si>
  <si>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</si>
  <si>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</si>
  <si>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</si>
  <si>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</si>
  <si>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</si>
  <si>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</si>
  <si>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</si>
  <si>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</si>
  <si>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</si>
  <si>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</si>
  <si>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</si>
  <si>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</si>
  <si>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</si>
  <si>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</si>
  <si>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</si>
  <si>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</si>
  <si>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</si>
  <si>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</si>
  <si>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</si>
  <si>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</si>
  <si>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</si>
  <si>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</si>
  <si>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</si>
  <si>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</si>
  <si>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</si>
  <si>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</si>
  <si>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</si>
  <si>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</si>
  <si>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</si>
  <si>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</si>
  <si>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</si>
  <si>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</si>
  <si>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</si>
  <si>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</si>
  <si>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</si>
  <si>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</si>
  <si>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</si>
  <si>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</si>
  <si>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</si>
  <si>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</si>
  <si>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</si>
  <si>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</si>
  <si>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</si>
  <si>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</si>
  <si>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</si>
  <si>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</si>
  <si>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</si>
  <si>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</si>
  <si>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</si>
  <si>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</si>
  <si>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</si>
  <si>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</si>
  <si>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</si>
  <si>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</si>
  <si>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</si>
  <si>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</si>
  <si>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</si>
  <si>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</si>
  <si>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</si>
  <si>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</si>
  <si>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</si>
  <si>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</si>
  <si>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</si>
  <si>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</si>
  <si>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</si>
  <si>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</si>
  <si>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</si>
  <si>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</si>
  <si>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</si>
  <si>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</si>
  <si>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</si>
  <si>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</si>
  <si>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</si>
  <si>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</si>
  <si>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</si>
  <si>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</si>
  <si>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</si>
  <si>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</si>
  <si>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</si>
  <si>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</si>
  <si>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</si>
  <si>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</si>
  <si>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</si>
  <si>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</si>
  <si>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</si>
  <si>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</si>
  <si>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</si>
  <si>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</si>
  <si>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</si>
  <si>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</si>
  <si>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</si>
  <si>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</si>
  <si>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</si>
  <si>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</si>
  <si>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</si>
  <si>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</si>
  <si>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</si>
  <si>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</si>
  <si>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</si>
  <si>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</si>
  <si>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</si>
  <si>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</si>
  <si>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</si>
  <si>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</si>
  <si>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</si>
  <si>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</si>
  <si>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</si>
  <si>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</si>
  <si>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</si>
  <si>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</si>
  <si>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</si>
  <si>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</si>
  <si>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</si>
  <si>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</si>
  <si>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</si>
  <si>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</si>
  <si>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</si>
  <si>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</si>
  <si>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</si>
  <si>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</si>
  <si>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</si>
  <si>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</si>
  <si>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</si>
  <si>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</si>
  <si>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</si>
  <si>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</si>
  <si>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</si>
  <si>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</si>
  <si>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</si>
  <si>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</si>
  <si>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</si>
  <si>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</si>
  <si>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</si>
  <si>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</si>
  <si>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</si>
  <si>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</si>
  <si>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</si>
  <si>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</si>
  <si>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</si>
  <si>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</si>
  <si>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</si>
  <si>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</si>
  <si>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</si>
  <si>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</si>
  <si>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</si>
  <si>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</si>
  <si>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</si>
  <si>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</si>
  <si>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</si>
  <si>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</si>
  <si>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</si>
  <si>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</si>
  <si>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</si>
  <si>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</si>
  <si>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</si>
  <si>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</si>
  <si>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</si>
  <si>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</si>
  <si>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</si>
  <si>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</si>
  <si>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</si>
  <si>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</si>
  <si>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</si>
  <si>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</si>
  <si>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</si>
  <si>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</si>
  <si>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</si>
  <si>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</si>
  <si>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</si>
  <si>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</si>
  <si>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</si>
  <si>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</si>
  <si>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</si>
  <si>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</si>
  <si>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</si>
  <si>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</si>
  <si>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</si>
  <si>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</si>
  <si>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</si>
  <si>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</si>
  <si>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</si>
  <si>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</si>
  <si>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</si>
  <si>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</si>
  <si>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</si>
  <si>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</si>
  <si>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</si>
  <si>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</si>
  <si>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</si>
  <si>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</si>
  <si>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</si>
  <si>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</si>
  <si>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</si>
  <si>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</si>
  <si>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</si>
  <si>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</si>
  <si>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</si>
  <si>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</si>
  <si>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</si>
  <si>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</si>
  <si>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</si>
  <si>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</si>
  <si>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</si>
  <si>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</si>
  <si>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</si>
  <si>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</si>
  <si>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</si>
  <si>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</si>
  <si>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</si>
  <si>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</si>
  <si>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</si>
  <si>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</si>
  <si>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</si>
  <si>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</si>
  <si>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</si>
  <si>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</si>
  <si>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</si>
  <si>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</si>
  <si>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</si>
  <si>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</si>
  <si>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</si>
  <si>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</si>
  <si>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</si>
  <si>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</si>
  <si>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</si>
  <si>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</si>
  <si>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</si>
  <si>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</si>
  <si>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</si>
  <si>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</si>
  <si>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</si>
  <si>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</si>
  <si>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</si>
  <si>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</si>
  <si>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</si>
  <si>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</si>
  <si>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</si>
  <si>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</si>
  <si>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</si>
  <si>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</si>
  <si>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</si>
  <si>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</si>
  <si>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</si>
  <si>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</si>
  <si>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</si>
  <si>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</si>
  <si>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</si>
  <si>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</si>
  <si>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</si>
  <si>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</si>
  <si>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</si>
  <si>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</si>
  <si>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</si>
  <si>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</si>
  <si>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</si>
  <si>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</si>
  <si>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</si>
  <si>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</si>
  <si>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</si>
  <si>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</si>
  <si>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</si>
  <si>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</si>
  <si>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</si>
  <si>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</si>
  <si>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</si>
  <si>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</si>
  <si>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</si>
  <si>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</si>
  <si>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</si>
  <si>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</si>
  <si>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</si>
  <si>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</si>
  <si>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</si>
  <si>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</si>
  <si>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</si>
  <si>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</si>
  <si>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</si>
  <si>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</si>
  <si>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</si>
  <si>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</si>
  <si>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</si>
  <si>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</si>
  <si>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</si>
  <si>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</si>
  <si>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</si>
  <si>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</si>
  <si>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</si>
  <si>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</si>
  <si>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</si>
  <si>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</si>
  <si>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</si>
  <si>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</si>
  <si>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</si>
  <si>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</si>
  <si>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</si>
  <si>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</si>
  <si>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</si>
  <si>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</si>
  <si>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</si>
  <si>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</si>
  <si>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</si>
  <si>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</si>
  <si>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</si>
  <si>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</si>
  <si>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</si>
  <si>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</si>
  <si>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</si>
  <si>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</si>
  <si>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</si>
  <si>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</si>
  <si>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</si>
  <si>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</si>
  <si>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</si>
  <si>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</si>
  <si>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</si>
  <si>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</si>
  <si>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</si>
  <si>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</si>
  <si>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</si>
  <si>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</si>
  <si>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</si>
  <si>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</si>
  <si>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</si>
  <si>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</si>
  <si>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</si>
  <si>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</si>
  <si>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</si>
  <si>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</si>
  <si>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</si>
  <si>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</si>
  <si>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</si>
  <si>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</si>
  <si>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</si>
  <si>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</si>
  <si>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</si>
  <si>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</si>
  <si>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</si>
  <si>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</si>
  <si>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</si>
  <si>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</si>
  <si>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</si>
  <si>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</si>
  <si>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</si>
  <si>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</si>
  <si>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</si>
  <si>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</si>
  <si>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</si>
  <si>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</si>
  <si>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</si>
  <si>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</si>
  <si>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</si>
  <si>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</si>
  <si>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</si>
  <si>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</si>
  <si>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</si>
  <si>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</si>
  <si>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</si>
  <si>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</si>
  <si>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</si>
  <si>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</si>
  <si>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</si>
  <si>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</si>
  <si>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</si>
  <si>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</si>
  <si>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</si>
  <si>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</si>
  <si>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</si>
  <si>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</si>
  <si>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</si>
  <si>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</si>
  <si>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</si>
  <si>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</si>
  <si>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</si>
  <si>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</si>
  <si>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</si>
  <si>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</si>
  <si>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</si>
  <si>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</si>
  <si>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</si>
  <si>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</si>
  <si>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</si>
  <si>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</si>
  <si>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</si>
  <si>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</si>
  <si>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</si>
  <si>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</si>
  <si>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</si>
  <si>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</si>
  <si>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</si>
  <si>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</si>
  <si>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</si>
  <si>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</si>
  <si>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</si>
  <si>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</si>
  <si>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</si>
  <si>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</si>
  <si>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</si>
  <si>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</si>
  <si>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</si>
  <si>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</si>
  <si>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</si>
  <si>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</si>
  <si>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</si>
  <si>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</si>
  <si>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</si>
  <si>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</si>
  <si>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</si>
  <si>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</si>
  <si>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</si>
  <si>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</si>
  <si>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</si>
  <si>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</si>
  <si>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</si>
  <si>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</si>
  <si>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</si>
  <si>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</si>
  <si>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</si>
  <si>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</si>
  <si>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</si>
  <si>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</si>
  <si>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</si>
  <si>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</si>
  <si>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</si>
  <si>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</si>
  <si>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</si>
  <si>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</si>
  <si>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</si>
  <si>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</si>
  <si>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</si>
  <si>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</si>
  <si>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</si>
  <si>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</si>
  <si>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</si>
  <si>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</si>
  <si>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</si>
  <si>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</si>
  <si>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</si>
  <si>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</si>
  <si>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</si>
  <si>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</si>
  <si>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</si>
  <si>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</si>
  <si>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</si>
  <si>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</si>
  <si>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</si>
  <si>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</si>
  <si>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</si>
  <si>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</si>
  <si>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</si>
  <si>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</si>
  <si>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</si>
  <si>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</si>
  <si>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</si>
  <si>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</si>
  <si>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</si>
  <si>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</si>
  <si>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</si>
  <si>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</si>
  <si>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</si>
  <si>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</si>
  <si>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</si>
  <si>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</si>
  <si>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</si>
  <si>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</si>
  <si>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</si>
  <si>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</si>
  <si>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</si>
  <si>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</si>
  <si>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</si>
  <si>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</si>
  <si>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</si>
  <si>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</si>
  <si>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</si>
  <si>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</si>
  <si>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</si>
  <si>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</si>
  <si>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</si>
  <si>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</si>
  <si>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</si>
  <si>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</si>
  <si>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</si>
  <si>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</si>
  <si>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</si>
  <si>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</si>
  <si>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</si>
  <si>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</si>
  <si>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</si>
  <si>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</si>
  <si>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</si>
  <si>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</si>
  <si>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</si>
  <si>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</si>
  <si>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</si>
  <si>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</si>
  <si>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</si>
  <si>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</si>
  <si>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</si>
  <si>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</si>
  <si>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</si>
  <si>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</si>
  <si>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</si>
  <si>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</si>
  <si>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</si>
  <si>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</si>
  <si>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</si>
  <si>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</si>
  <si>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</si>
  <si>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</si>
  <si>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</si>
  <si>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</si>
  <si>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</si>
  <si>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</si>
  <si>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</si>
  <si>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</si>
  <si>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</si>
  <si>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</si>
  <si>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</si>
  <si>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</si>
  <si>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</si>
  <si>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</si>
  <si>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</si>
  <si>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</si>
  <si>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</si>
  <si>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</si>
  <si>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</si>
  <si>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</si>
  <si>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</si>
  <si>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</si>
  <si>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</si>
  <si>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</si>
  <si>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</si>
  <si>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</si>
  <si>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</si>
  <si>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</si>
  <si>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</si>
  <si>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</si>
  <si>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</si>
  <si>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</si>
  <si>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</si>
  <si>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</si>
  <si>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</si>
  <si>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</si>
  <si>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</si>
  <si>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</si>
  <si>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</si>
  <si>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</si>
  <si>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</si>
  <si>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</si>
  <si>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</si>
  <si>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</si>
  <si>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</si>
  <si>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</si>
  <si>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</si>
  <si>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</si>
  <si>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</si>
  <si>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</si>
  <si>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</si>
  <si>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</si>
  <si>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</si>
  <si>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</si>
  <si>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</si>
  <si>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</si>
  <si>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</si>
  <si>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</si>
  <si>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</si>
  <si>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</si>
  <si>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</si>
  <si>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</si>
  <si>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</si>
  <si>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</si>
  <si>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</si>
  <si>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</si>
  <si>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</si>
  <si>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</si>
  <si>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</si>
  <si>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</si>
  <si>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</si>
  <si>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</si>
  <si>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</si>
  <si>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</si>
  <si>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</si>
  <si>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</si>
  <si>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</si>
  <si>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</si>
  <si>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</si>
  <si>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</si>
  <si>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</si>
  <si>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</si>
  <si>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</si>
  <si>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</si>
  <si>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</si>
  <si>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</si>
  <si>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</si>
  <si>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</si>
  <si>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</si>
  <si>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</si>
  <si>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</si>
  <si>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</si>
  <si>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</si>
  <si>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</si>
  <si>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</si>
  <si>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</si>
  <si>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</si>
  <si>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</si>
  <si>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</si>
  <si>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</si>
  <si>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</si>
  <si>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</si>
  <si>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</si>
  <si>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</si>
  <si>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</si>
  <si>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</si>
  <si>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</si>
  <si>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</si>
  <si>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</si>
  <si>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</si>
  <si>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</si>
  <si>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</si>
  <si>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</si>
  <si>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</si>
  <si>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</si>
  <si>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</si>
  <si>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</si>
  <si>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</si>
  <si>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</si>
  <si>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</si>
  <si>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</si>
  <si>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</si>
  <si>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</si>
  <si>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</si>
  <si>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</si>
  <si>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</si>
  <si>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</si>
  <si>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</si>
  <si>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</si>
  <si>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</si>
  <si>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</si>
  <si>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</si>
  <si>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</si>
  <si>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</si>
  <si>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</si>
  <si>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</si>
  <si>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</si>
  <si>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</si>
  <si>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</si>
  <si>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</si>
  <si>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</si>
  <si>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</si>
  <si>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</si>
  <si>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</si>
  <si>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</si>
  <si>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</si>
  <si>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</si>
  <si>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</si>
  <si>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</si>
  <si>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</si>
  <si>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</si>
  <si>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</si>
  <si>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</si>
  <si>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</si>
  <si>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</si>
  <si>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</si>
  <si>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</si>
  <si>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</si>
  <si>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</si>
  <si>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</si>
  <si>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</si>
  <si>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</si>
  <si>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</si>
  <si>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</si>
  <si>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</si>
  <si>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</si>
  <si>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</si>
  <si>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</si>
  <si>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</si>
  <si>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</si>
  <si>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</si>
  <si>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</si>
  <si>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</si>
  <si>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</si>
  <si>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</si>
  <si>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</si>
  <si>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</si>
  <si>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</si>
  <si>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</si>
  <si>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</si>
  <si>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</si>
  <si>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</si>
  <si>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</si>
  <si>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</si>
  <si>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</si>
  <si>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</si>
  <si>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</si>
  <si>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</si>
  <si>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</si>
  <si>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</si>
  <si>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</si>
  <si>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</si>
  <si>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</si>
  <si>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</si>
  <si>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</si>
  <si>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</si>
  <si>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</si>
  <si>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</si>
  <si>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</si>
  <si>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</si>
  <si>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</si>
  <si>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</si>
  <si>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</si>
  <si>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</si>
  <si>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</si>
  <si>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</si>
  <si>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</si>
  <si>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</si>
  <si>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</si>
  <si>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</si>
  <si>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</si>
  <si>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</si>
  <si>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</si>
  <si>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</si>
  <si>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</si>
  <si>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</si>
  <si>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</si>
  <si>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</si>
  <si>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</si>
  <si>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</si>
  <si>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</si>
  <si>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</si>
  <si>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</si>
  <si>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</si>
  <si>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</si>
  <si>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</si>
  <si>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</si>
  <si>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</si>
  <si>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</si>
  <si>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</si>
  <si>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</si>
  <si>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</si>
  <si>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</si>
  <si>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</si>
  <si>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</si>
  <si>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</si>
  <si>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</si>
  <si>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</si>
  <si>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</si>
  <si>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</si>
  <si>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</si>
  <si>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</si>
  <si>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</si>
  <si>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</si>
  <si>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</si>
  <si>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</si>
  <si>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</si>
  <si>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</si>
  <si>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</si>
  <si>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</si>
  <si>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</si>
  <si>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</si>
  <si>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</si>
  <si>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</si>
  <si>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</si>
  <si>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</si>
  <si>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</si>
  <si>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</si>
  <si>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</si>
  <si>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</si>
  <si>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</si>
  <si>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</si>
  <si>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</si>
  <si>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</si>
  <si>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</si>
  <si>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</si>
  <si>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</si>
  <si>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</si>
  <si>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</si>
  <si>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</si>
  <si>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</si>
  <si>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</si>
  <si>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</si>
  <si>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</si>
  <si>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</si>
  <si>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</si>
  <si>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</si>
  <si>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</si>
  <si>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</si>
  <si>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</si>
  <si>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</si>
  <si>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</si>
  <si>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</si>
  <si>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</si>
  <si>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</si>
  <si>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</si>
  <si>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</si>
  <si>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</si>
  <si>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</si>
  <si>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</si>
  <si>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</si>
  <si>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</si>
  <si>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</si>
  <si>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</si>
  <si>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</si>
  <si>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</si>
  <si>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</si>
  <si>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</si>
  <si>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</si>
  <si>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</si>
  <si>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</si>
  <si>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</si>
  <si>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</si>
  <si>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</si>
  <si>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</si>
  <si>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</si>
  <si>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</si>
  <si>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</si>
  <si>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</si>
  <si>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</si>
  <si>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</si>
  <si>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</si>
  <si>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</si>
  <si>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</si>
  <si>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</si>
  <si>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</si>
  <si>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</si>
  <si>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</si>
  <si>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</si>
  <si>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</si>
  <si>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</si>
  <si>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</si>
  <si>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</si>
  <si>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</si>
  <si>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</si>
  <si>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</si>
  <si>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</si>
  <si>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</si>
  <si>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</si>
  <si>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</si>
  <si>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</si>
  <si>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</si>
  <si>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</si>
  <si>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</si>
  <si>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</si>
  <si>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</si>
  <si>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</si>
  <si>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</si>
  <si>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</si>
  <si>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</si>
  <si>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</si>
  <si>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</si>
  <si>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</si>
  <si>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</si>
  <si>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</si>
  <si>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</si>
  <si>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</si>
  <si>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</si>
  <si>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</si>
  <si>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</si>
  <si>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</si>
  <si>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</si>
  <si>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</si>
  <si>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</si>
  <si>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</si>
  <si>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</si>
  <si>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</si>
  <si>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</si>
  <si>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</si>
  <si>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</si>
  <si>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</si>
  <si>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</si>
  <si>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</si>
  <si>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</si>
  <si>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</si>
  <si>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</si>
  <si>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</si>
  <si>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</si>
  <si>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</si>
  <si>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</si>
  <si>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</si>
  <si>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</si>
  <si>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</si>
  <si>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</si>
  <si>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</si>
  <si>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</si>
  <si>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</si>
  <si>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</si>
  <si>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</si>
  <si>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</si>
  <si>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</si>
  <si>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</si>
  <si>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</si>
  <si>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</si>
  <si>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</si>
  <si>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</si>
  <si>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</si>
  <si>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</si>
  <si>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</si>
  <si>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</si>
  <si>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</si>
  <si>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</si>
  <si>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</si>
  <si>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</si>
  <si>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</si>
  <si>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</si>
  <si>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</si>
  <si>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</si>
  <si>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</si>
  <si>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</si>
  <si>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</si>
  <si>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</si>
  <si>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</si>
  <si>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</si>
  <si>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</si>
  <si>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</si>
  <si>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</si>
  <si>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</si>
  <si>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</si>
  <si>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</si>
  <si>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</si>
  <si>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</si>
  <si>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</si>
  <si>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</si>
  <si>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</si>
  <si>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</si>
  <si>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</si>
  <si>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</si>
  <si>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</si>
  <si>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</si>
  <si>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</si>
  <si>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</si>
  <si>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</si>
  <si>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</si>
  <si>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</si>
  <si>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</si>
  <si>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</si>
  <si>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</si>
  <si>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</si>
  <si>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</si>
  <si>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</si>
  <si>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</si>
  <si>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</si>
  <si>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</si>
  <si>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</si>
  <si>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</si>
  <si>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</si>
  <si>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</si>
  <si>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</si>
  <si>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</si>
  <si>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</si>
  <si>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</si>
  <si>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</si>
  <si>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</si>
  <si>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</si>
  <si>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</si>
  <si>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</si>
  <si>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</si>
  <si>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</si>
  <si>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</si>
  <si>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</si>
  <si>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</si>
  <si>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</si>
  <si>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</si>
  <si>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</si>
  <si>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</si>
  <si>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</si>
  <si>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</si>
  <si>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</si>
  <si>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</si>
  <si>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</si>
  <si>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</si>
  <si>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</si>
  <si>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</si>
  <si>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</si>
  <si>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</si>
  <si>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</si>
  <si>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</si>
  <si>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</si>
  <si>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</si>
  <si>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</si>
  <si>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</si>
  <si>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</si>
  <si>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</si>
  <si>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</si>
  <si>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</si>
  <si>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</si>
  <si>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</si>
  <si>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</si>
  <si>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</si>
  <si>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</si>
  <si>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</si>
  <si>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</si>
  <si>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</si>
  <si>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</si>
  <si>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</si>
  <si>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</si>
  <si>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</si>
  <si>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</si>
  <si>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</si>
  <si>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</si>
  <si>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</si>
  <si>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</si>
  <si>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</si>
  <si>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</si>
  <si>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</si>
  <si>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</si>
  <si>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</si>
  <si>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</si>
  <si>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</si>
  <si>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</si>
  <si>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</si>
  <si>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</si>
  <si>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</si>
  <si>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</si>
  <si>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</si>
  <si>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</si>
  <si>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</si>
  <si>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</si>
  <si>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</si>
  <si>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</si>
  <si>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</si>
  <si>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</si>
  <si>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</si>
  <si>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</si>
  <si>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</si>
  <si>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</si>
  <si>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</si>
  <si>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</si>
  <si>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</si>
  <si>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</si>
  <si>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</si>
  <si>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</si>
  <si>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</si>
  <si>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</si>
  <si>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</si>
  <si>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</si>
  <si>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</si>
  <si>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</si>
  <si>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</si>
  <si>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</si>
  <si>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</si>
  <si>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</si>
  <si>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</si>
  <si>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</si>
  <si>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</si>
  <si>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</si>
  <si>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</si>
  <si>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</si>
  <si>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</si>
  <si>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</si>
  <si>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</si>
  <si>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</si>
  <si>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</si>
  <si>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</si>
  <si>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</si>
  <si>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</si>
  <si>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</si>
  <si>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</si>
  <si>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</si>
  <si>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</si>
  <si>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</si>
  <si>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</si>
  <si>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</si>
  <si>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</si>
  <si>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</si>
  <si>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</si>
  <si>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</si>
  <si>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</si>
  <si>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</si>
  <si>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</si>
  <si>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</si>
  <si>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</si>
  <si>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</si>
  <si>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</si>
  <si>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</si>
  <si>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</si>
  <si>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</si>
  <si>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</si>
  <si>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</si>
  <si>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</si>
  <si>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</si>
  <si>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</si>
  <si>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</si>
  <si>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</si>
  <si>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</si>
  <si>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</si>
  <si>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</si>
  <si>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</si>
  <si>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</si>
  <si>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</si>
  <si>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</si>
  <si>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</si>
  <si>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</si>
  <si>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</si>
  <si>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</si>
  <si>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</si>
  <si>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</si>
  <si>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</si>
  <si>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</si>
  <si>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</si>
  <si>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</si>
  <si>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</si>
  <si>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</si>
  <si>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</si>
  <si>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</si>
  <si>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</si>
  <si>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</si>
  <si>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</si>
  <si>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</si>
  <si>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</si>
  <si>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</si>
  <si>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</si>
  <si>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</si>
  <si>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</si>
  <si>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</si>
  <si>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</si>
  <si>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</si>
  <si>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</si>
  <si>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</si>
  <si>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</si>
  <si>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</si>
  <si>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</si>
  <si>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</si>
  <si>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</si>
  <si>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</si>
  <si>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</si>
  <si>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</si>
  <si>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</si>
  <si>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</si>
  <si>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</si>
  <si>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</si>
  <si>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</si>
  <si>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</si>
  <si>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</si>
  <si>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</si>
  <si>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</si>
  <si>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2021-15-10000404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</si>
</sst>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1"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2757</v>
      </c>
      <c r="D15" s="35"/>
      <c r="E15" s="35"/>
      <c r="F15" s="5"/>
      <c r="G15" s="32" t="s">
        <v>1168</v>
      </c>
      <c r="H15" s="102" t="s">
        <v>255</v>
      </c>
      <c r="I15" s="32" t="s">
        <v>2624</v>
      </c>
      <c r="J15" s="107"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186"/>
      <c r="I20" s="146" t="s">
        <v>255</v>
      </c>
      <c r="J20" s="147" t="s">
        <v>285</v>
      </c>
      <c r="K20" s="148">
        <v>681036881</v>
      </c>
      <c r="L20" s="149"/>
      <c r="M20" s="149">
        <v>44561</v>
      </c>
      <c r="N20" s="133">
        <f>+(M20-L20)/30</f>
        <v>1485.3666666666666</v>
      </c>
      <c r="O20" s="136"/>
      <c r="U20" s="132"/>
      <c r="V20" s="104">
        <f ca="1">NOW()</f>
        <v>44194.980603356482</v>
      </c>
      <c r="W20" s="104">
        <f ca="1">NOW()</f>
        <v>44194.980603356482</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FUNDACION SOCIAL SEMILLAS DE ESPERANZA</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2756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t="s">
        <v>2747</v>
      </c>
      <c r="E114" s="174">
        <v>43879</v>
      </c>
      <c r="F114" s="174">
        <v>44196</v>
      </c>
      <c r="G114" s="157">
        <f>IF(AND(E114&lt;&gt;"",F114&lt;&gt;""),((F114-E114)/30),"")</f>
        <v>10.566666666666666</v>
      </c>
      <c r="H114" s="120" t="s">
        <v>2749</v>
      </c>
      <c r="I114" s="119" t="s">
        <v>516</v>
      </c>
      <c r="J114" s="119" t="s">
        <v>530</v>
      </c>
      <c r="K114" s="121">
        <v>1700473089</v>
      </c>
      <c r="L114" s="100">
        <f>+IF(AND(K114&gt;0,O114="Ejecución"),(K114/877802)*Tabla28[[#This Row],[% participación]],IF(AND(K114&gt;0,O114&lt;&gt;"Ejecución"),"-",""))</f>
        <v>1937.1943661554656</v>
      </c>
      <c r="M114" s="122" t="s">
        <v>1148</v>
      </c>
      <c r="N114" s="170">
        <f>+IF(M118="No",1,IF(M118="Si","Ingrese %",""))</f>
        <v>1</v>
      </c>
      <c r="O114" s="159" t="s">
        <v>1150</v>
      </c>
      <c r="P114" s="78"/>
    </row>
    <row r="115" spans="1:16" s="6" customFormat="1" ht="24.75" customHeight="1" x14ac:dyDescent="0.25">
      <c r="A115" s="141">
        <v>2</v>
      </c>
      <c r="B115" s="158" t="s">
        <v>2664</v>
      </c>
      <c r="C115" s="160" t="s">
        <v>31</v>
      </c>
      <c r="D115" s="119" t="s">
        <v>2747</v>
      </c>
      <c r="E115" s="174">
        <v>43879</v>
      </c>
      <c r="F115" s="174">
        <v>44196</v>
      </c>
      <c r="G115" s="157">
        <f t="shared" ref="G115:G116" si="4">IF(AND(E115&lt;&gt;"",F115&lt;&gt;""),((F115-E115)/30),"")</f>
        <v>10.566666666666666</v>
      </c>
      <c r="H115" s="120" t="s">
        <v>2749</v>
      </c>
      <c r="I115" s="119" t="s">
        <v>516</v>
      </c>
      <c r="J115" s="119" t="s">
        <v>543</v>
      </c>
      <c r="K115" s="68">
        <v>1700473089</v>
      </c>
      <c r="L115" s="100">
        <f>+IF(AND(K115&gt;0,O115="Ejecución"),(K115/877802)*Tabla28[[#This Row],[% participación]],IF(AND(K115&gt;0,O115&lt;&gt;"Ejecución"),"-",""))</f>
        <v>1937.1943661554656</v>
      </c>
      <c r="M115" s="65" t="s">
        <v>1148</v>
      </c>
      <c r="N115" s="170">
        <f>+IF(M118="No",1,IF(M118="Si","Ingrese %",""))</f>
        <v>1</v>
      </c>
      <c r="O115" s="159" t="s">
        <v>1150</v>
      </c>
      <c r="P115" s="78"/>
    </row>
    <row r="116" spans="1:16" s="6" customFormat="1" ht="24.75" customHeight="1" x14ac:dyDescent="0.25">
      <c r="A116" s="141">
        <v>3</v>
      </c>
      <c r="B116" s="158" t="s">
        <v>2664</v>
      </c>
      <c r="C116" s="160" t="s">
        <v>31</v>
      </c>
      <c r="D116" s="119" t="s">
        <v>2747</v>
      </c>
      <c r="E116" s="174">
        <v>43879</v>
      </c>
      <c r="F116" s="174">
        <v>44196</v>
      </c>
      <c r="G116" s="157">
        <f t="shared" si="4"/>
        <v>10.566666666666666</v>
      </c>
      <c r="H116" s="120" t="s">
        <v>2749</v>
      </c>
      <c r="I116" s="119" t="s">
        <v>516</v>
      </c>
      <c r="J116" s="119" t="s">
        <v>617</v>
      </c>
      <c r="K116" s="68">
        <v>1700473089</v>
      </c>
      <c r="L116" s="100">
        <f>+IF(AND(K116&gt;0,O116="Ejecución"),(K116/877802)*Tabla28[[#This Row],[% participación]],IF(AND(K116&gt;0,O116&lt;&gt;"Ejecución"),"-",""))</f>
        <v>1937.1943661554656</v>
      </c>
      <c r="M116" s="65" t="s">
        <v>1148</v>
      </c>
      <c r="N116" s="170">
        <f>+IF(M118="No",1,IF(M118="Si","Ingrese %",""))</f>
        <v>1</v>
      </c>
      <c r="O116" s="159" t="s">
        <v>1150</v>
      </c>
      <c r="P116" s="78"/>
    </row>
    <row r="117" spans="1:16" s="6" customFormat="1" ht="24.75" customHeight="1" outlineLevel="1" x14ac:dyDescent="0.25">
      <c r="A117" s="141">
        <v>4</v>
      </c>
      <c r="B117" s="158" t="s">
        <v>2664</v>
      </c>
      <c r="C117" s="160" t="s">
        <v>31</v>
      </c>
      <c r="D117" s="119" t="s">
        <v>2747</v>
      </c>
      <c r="E117" s="174">
        <v>43879</v>
      </c>
      <c r="F117" s="174">
        <v>44196</v>
      </c>
      <c r="G117" s="157">
        <f t="shared" ref="G117:G159" si="5">IF(AND(E117&lt;&gt;"",F117&lt;&gt;""),((F117-E117)/30),"")</f>
        <v>10.566666666666666</v>
      </c>
      <c r="H117" s="120" t="s">
        <v>2749</v>
      </c>
      <c r="I117" s="119" t="s">
        <v>516</v>
      </c>
      <c r="J117" s="119" t="s">
        <v>571</v>
      </c>
      <c r="K117" s="68">
        <v>1700473089</v>
      </c>
      <c r="L117" s="100">
        <f>+IF(AND(K117&gt;0,O117="Ejecución"),(K117/877802)*Tabla28[[#This Row],[% participación]],IF(AND(K117&gt;0,O117&lt;&gt;"Ejecución"),"-",""))</f>
        <v>1937.1943661554656</v>
      </c>
      <c r="M117" s="65" t="s">
        <v>1148</v>
      </c>
      <c r="N117" s="170">
        <f>+IF(M118="No",1,IF(M118="Si","Ingrese %",""))</f>
        <v>1</v>
      </c>
      <c r="O117" s="159" t="s">
        <v>1150</v>
      </c>
      <c r="P117" s="78"/>
    </row>
    <row r="118" spans="1:16" s="7" customFormat="1" ht="24.75" customHeight="1" outlineLevel="1" x14ac:dyDescent="0.25">
      <c r="A118" s="142">
        <v>5</v>
      </c>
      <c r="B118" s="158" t="s">
        <v>2664</v>
      </c>
      <c r="C118" s="160" t="s">
        <v>31</v>
      </c>
      <c r="D118" s="119" t="s">
        <v>2747</v>
      </c>
      <c r="E118" s="174">
        <v>43879</v>
      </c>
      <c r="F118" s="174">
        <v>44196</v>
      </c>
      <c r="G118" s="157">
        <f t="shared" si="5"/>
        <v>10.566666666666666</v>
      </c>
      <c r="H118" s="120" t="s">
        <v>2749</v>
      </c>
      <c r="I118" s="119" t="s">
        <v>516</v>
      </c>
      <c r="J118" s="119" t="s">
        <v>615</v>
      </c>
      <c r="K118" s="68">
        <v>1700473089</v>
      </c>
      <c r="L118" s="100">
        <f>+IF(AND(K118&gt;0,O118="Ejecución"),(K118/877802)*Tabla28[[#This Row],[% participación]],IF(AND(K118&gt;0,O118&lt;&gt;"Ejecución"),"-",""))</f>
        <v>1937.1943661554656</v>
      </c>
      <c r="M118" s="65" t="s">
        <v>1148</v>
      </c>
      <c r="N118" s="170">
        <f t="shared" ref="N118:N160" si="6">+IF(M118="No",1,IF(M118="Si","Ingrese %",""))</f>
        <v>1</v>
      </c>
      <c r="O118" s="159" t="s">
        <v>1150</v>
      </c>
      <c r="P118" s="79"/>
    </row>
    <row r="119" spans="1:16" s="7" customFormat="1" ht="24.75" customHeight="1" outlineLevel="1" x14ac:dyDescent="0.25">
      <c r="A119" s="142">
        <v>6</v>
      </c>
      <c r="B119" s="158" t="s">
        <v>2664</v>
      </c>
      <c r="C119" s="160" t="s">
        <v>31</v>
      </c>
      <c r="D119" s="119" t="s">
        <v>2747</v>
      </c>
      <c r="E119" s="174">
        <v>43879</v>
      </c>
      <c r="F119" s="174">
        <v>44196</v>
      </c>
      <c r="G119" s="157">
        <f t="shared" si="5"/>
        <v>10.566666666666666</v>
      </c>
      <c r="H119" s="120" t="s">
        <v>2749</v>
      </c>
      <c r="I119" s="119" t="s">
        <v>516</v>
      </c>
      <c r="J119" s="119" t="s">
        <v>585</v>
      </c>
      <c r="K119" s="68">
        <v>1700473089</v>
      </c>
      <c r="L119" s="100">
        <f>+IF(AND(K119&gt;0,O119="Ejecución"),(K119/877802)*Tabla28[[#This Row],[% participación]],IF(AND(K119&gt;0,O119&lt;&gt;"Ejecución"),"-",""))</f>
        <v>1937.1943661554656</v>
      </c>
      <c r="M119" s="65" t="s">
        <v>1148</v>
      </c>
      <c r="N119" s="170">
        <f t="shared" si="6"/>
        <v>1</v>
      </c>
      <c r="O119" s="159" t="s">
        <v>1150</v>
      </c>
      <c r="P119" s="79"/>
    </row>
    <row r="120" spans="1:16" s="7" customFormat="1" ht="24.75" customHeight="1" outlineLevel="1" x14ac:dyDescent="0.25">
      <c r="A120" s="142">
        <v>7</v>
      </c>
      <c r="B120" s="158" t="s">
        <v>2664</v>
      </c>
      <c r="C120" s="160" t="s">
        <v>31</v>
      </c>
      <c r="D120" s="119" t="s">
        <v>2747</v>
      </c>
      <c r="E120" s="174">
        <v>43879</v>
      </c>
      <c r="F120" s="174">
        <v>44196</v>
      </c>
      <c r="G120" s="157">
        <f t="shared" si="5"/>
        <v>10.566666666666666</v>
      </c>
      <c r="H120" s="120" t="s">
        <v>2749</v>
      </c>
      <c r="I120" s="119" t="s">
        <v>516</v>
      </c>
      <c r="J120" s="119" t="s">
        <v>544</v>
      </c>
      <c r="K120" s="68">
        <v>1700473089</v>
      </c>
      <c r="L120" s="100">
        <f>+IF(AND(K120&gt;0,O120="Ejecución"),(K120/877802)*Tabla28[[#This Row],[% participación]],IF(AND(K120&gt;0,O120&lt;&gt;"Ejecución"),"-",""))</f>
        <v>1937.1943661554656</v>
      </c>
      <c r="M120" s="65" t="s">
        <v>1148</v>
      </c>
      <c r="N120" s="170">
        <f t="shared" si="6"/>
        <v>1</v>
      </c>
      <c r="O120" s="159" t="s">
        <v>1150</v>
      </c>
      <c r="P120" s="79"/>
    </row>
    <row r="121" spans="1:16" s="7" customFormat="1" ht="24.75" customHeight="1" outlineLevel="1" x14ac:dyDescent="0.25">
      <c r="A121" s="142">
        <v>8</v>
      </c>
      <c r="B121" s="158" t="s">
        <v>2664</v>
      </c>
      <c r="C121" s="160" t="s">
        <v>31</v>
      </c>
      <c r="D121" s="119" t="s">
        <v>2748</v>
      </c>
      <c r="E121" s="174">
        <v>43885</v>
      </c>
      <c r="F121" s="174">
        <v>44196</v>
      </c>
      <c r="G121" s="157">
        <f t="shared" si="5"/>
        <v>10.366666666666667</v>
      </c>
      <c r="H121" s="120" t="s">
        <v>2750</v>
      </c>
      <c r="I121" s="119" t="s">
        <v>1130</v>
      </c>
      <c r="J121" s="119" t="s">
        <v>1132</v>
      </c>
      <c r="K121" s="68">
        <v>2240422310</v>
      </c>
      <c r="L121" s="100">
        <f>+IF(AND(K121&gt;0,O121="Ejecución"),(K121/877802)*Tabla28[[#This Row],[% participación]],IF(AND(K121&gt;0,O121&lt;&gt;"Ejecución"),"-",""))</f>
        <v>2552.3094160186465</v>
      </c>
      <c r="M121" s="65" t="s">
        <v>1148</v>
      </c>
      <c r="N121" s="170">
        <f t="shared" si="6"/>
        <v>1</v>
      </c>
      <c r="O121" s="159" t="s">
        <v>1150</v>
      </c>
      <c r="P121" s="79"/>
    </row>
    <row r="122" spans="1:16" s="7" customFormat="1" ht="24.75" customHeight="1" outlineLevel="1" x14ac:dyDescent="0.25">
      <c r="A122" s="142">
        <v>9</v>
      </c>
      <c r="B122" s="158" t="s">
        <v>2664</v>
      </c>
      <c r="C122" s="160" t="s">
        <v>31</v>
      </c>
      <c r="D122" s="119" t="s">
        <v>2748</v>
      </c>
      <c r="E122" s="174">
        <v>43885</v>
      </c>
      <c r="F122" s="174">
        <v>44196</v>
      </c>
      <c r="G122" s="157">
        <f t="shared" si="5"/>
        <v>10.366666666666667</v>
      </c>
      <c r="H122" s="120" t="s">
        <v>2750</v>
      </c>
      <c r="I122" s="119" t="s">
        <v>1130</v>
      </c>
      <c r="J122" s="119" t="s">
        <v>1133</v>
      </c>
      <c r="K122" s="68">
        <v>2240422310</v>
      </c>
      <c r="L122" s="100">
        <f>+IF(AND(K122&gt;0,O122="Ejecución"),(K122/877802)*Tabla28[[#This Row],[% participación]],IF(AND(K122&gt;0,O122&lt;&gt;"Ejecución"),"-",""))</f>
        <v>2552.3094160186465</v>
      </c>
      <c r="M122" s="65" t="s">
        <v>1148</v>
      </c>
      <c r="N122" s="170">
        <f t="shared" si="6"/>
        <v>1</v>
      </c>
      <c r="O122" s="159" t="s">
        <v>1150</v>
      </c>
      <c r="P122" s="79"/>
    </row>
    <row r="123" spans="1:16" s="7" customFormat="1" ht="24.75" customHeight="1" outlineLevel="1" x14ac:dyDescent="0.25">
      <c r="A123" s="142">
        <v>10</v>
      </c>
      <c r="B123" s="158" t="s">
        <v>2664</v>
      </c>
      <c r="C123" s="160" t="s">
        <v>31</v>
      </c>
      <c r="D123" s="63" t="s">
        <v>2751</v>
      </c>
      <c r="E123" s="143">
        <v>44166</v>
      </c>
      <c r="F123" s="143">
        <v>44773</v>
      </c>
      <c r="G123" s="157">
        <f t="shared" si="5"/>
        <v>20.233333333333334</v>
      </c>
      <c r="H123" s="64" t="s">
        <v>2746</v>
      </c>
      <c r="I123" s="63" t="s">
        <v>1130</v>
      </c>
      <c r="J123" s="119" t="s">
        <v>1132</v>
      </c>
      <c r="K123" s="68">
        <v>1174303900</v>
      </c>
      <c r="L123" s="100">
        <f>+IF(AND(K123&gt;0,O123="Ejecución"),(K123/877802)*Tabla28[[#This Row],[% participación]],IF(AND(K123&gt;0,O123&lt;&gt;"Ejecución"),"-",""))</f>
        <v>1337.7776537305679</v>
      </c>
      <c r="M123" s="65" t="s">
        <v>1148</v>
      </c>
      <c r="N123" s="170">
        <f t="shared" si="6"/>
        <v>1</v>
      </c>
      <c r="O123" s="159" t="s">
        <v>1150</v>
      </c>
      <c r="P123" s="79"/>
    </row>
    <row r="124" spans="1:16" s="7" customFormat="1" ht="24.75" customHeight="1" outlineLevel="1" x14ac:dyDescent="0.25">
      <c r="A124" s="142">
        <v>11</v>
      </c>
      <c r="B124" s="158" t="s">
        <v>2664</v>
      </c>
      <c r="C124" s="160" t="s">
        <v>31</v>
      </c>
      <c r="D124" s="63" t="s">
        <v>2751</v>
      </c>
      <c r="E124" s="143">
        <v>44166</v>
      </c>
      <c r="F124" s="143">
        <v>44773</v>
      </c>
      <c r="G124" s="157">
        <f t="shared" si="5"/>
        <v>20.233333333333334</v>
      </c>
      <c r="H124" s="64" t="s">
        <v>2746</v>
      </c>
      <c r="I124" s="63" t="s">
        <v>1130</v>
      </c>
      <c r="J124" s="119" t="s">
        <v>217</v>
      </c>
      <c r="K124" s="68">
        <v>1174303900</v>
      </c>
      <c r="L124" s="100">
        <f>+IF(AND(K124&gt;0,O124="Ejecución"),(K124/877802)*Tabla28[[#This Row],[% participación]],IF(AND(K124&gt;0,O124&lt;&gt;"Ejecución"),"-",""))</f>
        <v>1337.7776537305679</v>
      </c>
      <c r="M124" s="65" t="s">
        <v>1148</v>
      </c>
      <c r="N124" s="170">
        <f t="shared" si="6"/>
        <v>1</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0.03</v>
      </c>
      <c r="O179" s="8"/>
      <c r="Q179" s="19"/>
      <c r="R179" s="156">
        <f>IF(M179&gt;0,SUM(L179+M179),"")</f>
        <v>0.03</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34051844.050000004</v>
      </c>
      <c r="F185" s="92"/>
      <c r="G185" s="93"/>
      <c r="H185" s="88"/>
      <c r="I185" s="90" t="s">
        <v>2627</v>
      </c>
      <c r="J185" s="163">
        <f>+SUM(M179:M183)</f>
        <v>0.03</v>
      </c>
      <c r="K185" s="202" t="s">
        <v>2628</v>
      </c>
      <c r="L185" s="202"/>
      <c r="M185" s="94">
        <f>+J185*(SUM(K20:K35))</f>
        <v>20431106.43</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2752</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2753</v>
      </c>
      <c r="J211" s="27" t="s">
        <v>2622</v>
      </c>
      <c r="K211" s="176" t="s">
        <v>2753</v>
      </c>
      <c r="L211" s="21"/>
      <c r="M211" s="21"/>
      <c r="N211" s="21"/>
      <c r="O211" s="8"/>
    </row>
    <row r="212" spans="1:15" x14ac:dyDescent="0.25">
      <c r="A212" s="9"/>
      <c r="B212" s="27" t="s">
        <v>2619</v>
      </c>
      <c r="C212" s="145" t="s">
        <v>2752</v>
      </c>
      <c r="D212" s="21"/>
      <c r="G212" s="27" t="s">
        <v>2621</v>
      </c>
      <c r="H212" s="175" t="s">
        <v>2754</v>
      </c>
      <c r="J212" s="27" t="s">
        <v>2623</v>
      </c>
      <c r="K212" s="17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MAGDA SUAREZ</cp:lastModifiedBy>
  <cp:lastPrinted>2020-11-20T15:12:35Z</cp:lastPrinted>
  <dcterms:created xsi:type="dcterms:W3CDTF">2020-10-14T21:57:42Z</dcterms:created>
  <dcterms:modified xsi:type="dcterms:W3CDTF">2020-12-30T04:32:07Z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