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MARCO\Desktop\2021\6-DOCUMENTOS CDI Y MODALIDAD\2021-19-20000050.0 LA SIERRA EL TAMBO\"/>
    </mc:Choice>
  </mc:AlternateContent>
  <xr:revisionPtr revIDLastSave="0" documentId="13_ncr:1_{B0410345-8C38-4FB4-9144-BFBB1468458C}"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5" i="12" l="1"/>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<sst xmlns="http://schemas.openxmlformats.org/spreadsheetml/2006/main" count="3185" uniqueCount="2716">
  <si>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</si>
  <si>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</si>
  <si>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</si>
  <si>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</si>
  <si>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</si>
  <si>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</si>
  <si>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</si>
  <si>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</si>
  <si>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</si>
  <si>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</si>
  <si>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</si>
  <si>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</si>
  <si>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</si>
  <si>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</si>
  <si>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</si>
  <si>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</si>
  <si>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</si>
  <si>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</si>
  <si>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</si>
  <si>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</si>
  <si>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</si>
  <si>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</si>
  <si>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</si>
  <si>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</si>
  <si>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</si>
  <si>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</si>
  <si>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</si>
  <si>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</si>
  <si>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</si>
  <si>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</si>
  <si>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</si>
  <si>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</si>
  <si>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</si>
  <si>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</si>
  <si>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</si>
  <si>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</si>
  <si>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</si>
  <si>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</si>
  <si>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</si>
  <si>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</si>
  <si>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</si>
  <si>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</si>
  <si>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</si>
  <si>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</si>
  <si>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</si>
  <si>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</si>
  <si>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</si>
  <si>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</si>
  <si>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</si>
  <si>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</si>
  <si>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</si>
  <si>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</si>
  <si>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</si>
  <si>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</si>
  <si>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</si>
  <si>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</si>
  <si>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</si>
  <si>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</si>
  <si>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</si>
  <si>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</si>
  <si>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</si>
  <si>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</si>
  <si>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</si>
  <si>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</si>
  <si>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</si>
  <si>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</si>
  <si>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</si>
  <si>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</si>
  <si>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</si>
  <si>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</si>
  <si>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</si>
  <si>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</si>
  <si>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</si>
  <si>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</si>
  <si>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</si>
  <si>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</si>
  <si>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</si>
  <si>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</si>
  <si>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</si>
  <si>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</si>
  <si>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</si>
  <si>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</si>
  <si>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</si>
  <si>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</si>
  <si>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</si>
  <si>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</si>
  <si>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</si>
  <si>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</si>
  <si>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</si>
  <si>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</si>
  <si>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</si>
  <si>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</si>
  <si>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</si>
  <si>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</si>
  <si>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</si>
  <si>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</si>
  <si>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</si>
  <si>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</si>
  <si>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</si>
  <si>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</si>
  <si>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</si>
  <si>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</si>
  <si>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</si>
  <si>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</si>
  <si>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</si>
  <si>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</si>
  <si>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</si>
  <si>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</si>
  <si>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</si>
  <si>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</si>
  <si>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</si>
  <si>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</si>
  <si>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</si>
  <si>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</si>
  <si>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</si>
  <si>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</si>
  <si>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</si>
  <si>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</si>
  <si>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</si>
  <si>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</si>
  <si>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</si>
  <si>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</si>
  <si>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</si>
  <si>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</si>
  <si>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</si>
  <si>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</si>
  <si>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</si>
  <si>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</si>
  <si>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</si>
  <si>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</si>
  <si>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</si>
  <si>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</si>
  <si>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</si>
  <si>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</si>
  <si>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</si>
  <si>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</si>
  <si>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</si>
  <si>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</si>
  <si>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</si>
  <si>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</si>
  <si>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</si>
  <si>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</si>
  <si>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</si>
  <si>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</si>
  <si>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</si>
  <si>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</si>
  <si>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</si>
  <si>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</si>
  <si>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</si>
  <si>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</si>
  <si>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</si>
  <si>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</si>
  <si>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</si>
  <si>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</si>
  <si>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</si>
  <si>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</si>
  <si>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</si>
  <si>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</si>
  <si>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</si>
  <si>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</si>
  <si>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</si>
  <si>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</si>
  <si>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</si>
  <si>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</si>
  <si>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</si>
  <si>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</si>
  <si>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</si>
  <si>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</si>
  <si>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</si>
  <si>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</si>
  <si>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</si>
  <si>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</si>
  <si>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</si>
  <si>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</si>
  <si>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</si>
  <si>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</si>
  <si>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</si>
  <si>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</si>
  <si>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</si>
  <si>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</si>
  <si>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</si>
  <si>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</si>
  <si>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</si>
  <si>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</si>
  <si>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</si>
  <si>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</si>
  <si>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</si>
  <si>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</si>
  <si>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</si>
  <si>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</si>
  <si>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</si>
  <si>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</si>
  <si>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</si>
  <si>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</si>
  <si>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</si>
  <si>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</si>
  <si>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</si>
  <si>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</si>
  <si>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</si>
  <si>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</si>
  <si>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</si>
  <si>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</si>
  <si>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</si>
  <si>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</si>
  <si>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</si>
  <si>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</si>
  <si>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</si>
  <si>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</si>
  <si>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</si>
  <si>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</si>
  <si>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</si>
  <si>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</si>
  <si>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</si>
  <si>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</si>
  <si>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</si>
  <si>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</si>
  <si>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</si>
  <si>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</si>
  <si>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</si>
  <si>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</si>
  <si>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</si>
  <si>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</si>
  <si>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</si>
  <si>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</si>
  <si>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</si>
  <si>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</si>
  <si>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</si>
  <si>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</si>
  <si>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</si>
  <si>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</si>
  <si>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</si>
  <si>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</si>
  <si>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</si>
  <si>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</si>
  <si>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</si>
  <si>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</si>
  <si>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</si>
  <si>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</si>
  <si>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</si>
  <si>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</si>
  <si>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</si>
  <si>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</si>
  <si>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</si>
  <si>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</si>
  <si>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</si>
  <si>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</si>
  <si>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</si>
  <si>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</si>
  <si>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</si>
  <si>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</si>
  <si>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</si>
  <si>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</si>
  <si>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</si>
  <si>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</si>
  <si>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</si>
  <si>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</si>
  <si>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</si>
  <si>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</si>
  <si>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</si>
  <si>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</si>
  <si>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</si>
  <si>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</si>
  <si>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</si>
  <si>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</si>
  <si>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</si>
  <si>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</si>
  <si>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</si>
  <si>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</si>
  <si>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</si>
  <si>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</si>
  <si>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</si>
  <si>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</si>
  <si>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</si>
  <si>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</si>
  <si>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</si>
  <si>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</si>
  <si>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</si>
  <si>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</si>
  <si>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</si>
  <si>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</si>
  <si>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</si>
  <si>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</si>
  <si>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</si>
  <si>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</si>
  <si>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</si>
  <si>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</si>
  <si>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</si>
  <si>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</si>
  <si>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</si>
  <si>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</si>
  <si>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</si>
  <si>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</si>
  <si>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</si>
  <si>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</si>
  <si>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</si>
  <si>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</si>
  <si>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</si>
  <si>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</si>
  <si>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</si>
  <si>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</si>
  <si>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</si>
  <si>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</si>
  <si>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</si>
  <si>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</si>
  <si>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</si>
  <si>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</si>
  <si>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</si>
  <si>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</si>
  <si>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</si>
  <si>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</si>
  <si>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</si>
  <si>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</si>
  <si>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</si>
  <si>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</si>
  <si>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</si>
  <si>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</si>
  <si>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</si>
  <si>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</si>
  <si>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</si>
  <si>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</si>
  <si>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</si>
  <si>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</si>
  <si>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</si>
  <si>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</si>
  <si>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</si>
  <si>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</si>
  <si>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</si>
  <si>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</si>
  <si>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</si>
  <si>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</si>
  <si>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</si>
  <si>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</si>
  <si>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</si>
  <si>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</si>
  <si>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</si>
  <si>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</si>
  <si>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</si>
  <si>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</si>
  <si>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</si>
  <si>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</si>
  <si>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</si>
  <si>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</si>
  <si>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</si>
  <si>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</si>
  <si>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</si>
  <si>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</si>
  <si>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</si>
  <si>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</si>
  <si>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</si>
  <si>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</si>
  <si>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</si>
  <si>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</si>
  <si>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</si>
  <si>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</si>
  <si>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</si>
  <si>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</si>
  <si>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</si>
  <si>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</si>
  <si>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</si>
  <si>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</si>
  <si>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</si>
  <si>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</si>
  <si>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</si>
  <si>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</si>
  <si>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</si>
  <si>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</si>
  <si>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</si>
  <si>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</si>
  <si>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</si>
  <si>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</si>
  <si>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</si>
  <si>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</si>
  <si>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</si>
  <si>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</si>
  <si>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</si>
  <si>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</si>
  <si>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</si>
  <si>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</si>
  <si>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</si>
  <si>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</si>
  <si>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</si>
  <si>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</si>
  <si>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</si>
  <si>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</si>
  <si>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</si>
  <si>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</si>
  <si>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</si>
  <si>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</si>
  <si>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</si>
  <si>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</si>
  <si>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</si>
  <si>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</si>
  <si>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</si>
  <si>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</si>
  <si>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</si>
  <si>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</si>
  <si>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</si>
  <si>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</si>
  <si>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</si>
  <si>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</si>
  <si>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</si>
  <si>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</si>
  <si>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</si>
  <si>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</si>
  <si>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</si>
  <si>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</si>
  <si>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</si>
  <si>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</si>
  <si>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</si>
  <si>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</si>
  <si>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</si>
  <si>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</si>
  <si>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</si>
  <si>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</si>
  <si>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</si>
  <si>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</si>
  <si>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</si>
  <si>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</si>
  <si>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</si>
  <si>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</si>
  <si>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</si>
  <si>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</si>
  <si>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</si>
  <si>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</si>
  <si>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</si>
  <si>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</si>
  <si>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</si>
  <si>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</si>
  <si>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</si>
  <si>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</si>
  <si>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</si>
  <si>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</si>
  <si>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</si>
  <si>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</si>
  <si>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</si>
  <si>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</si>
  <si>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</si>
  <si>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</si>
  <si>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</si>
  <si>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</si>
  <si>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</si>
  <si>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</si>
  <si>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</si>
  <si>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</si>
  <si>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</si>
  <si>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</si>
  <si>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</si>
  <si>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</si>
  <si>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</si>
  <si>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</si>
  <si>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</si>
  <si>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</si>
  <si>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</si>
  <si>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</si>
  <si>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</si>
  <si>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</si>
  <si>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</si>
  <si>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</si>
  <si>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</si>
  <si>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</si>
  <si>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</si>
  <si>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</si>
  <si>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</si>
  <si>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</si>
  <si>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</si>
  <si>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</si>
  <si>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</si>
  <si>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</si>
  <si>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</si>
  <si>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</si>
  <si>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</si>
  <si>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</si>
  <si>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</si>
  <si>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</si>
  <si>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</si>
  <si>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</si>
  <si>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</si>
  <si>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</si>
  <si>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</si>
  <si>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</si>
  <si>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</si>
  <si>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</si>
  <si>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</si>
  <si>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</si>
  <si>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</si>
  <si>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</si>
  <si>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</si>
  <si>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</si>
  <si>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</si>
  <si>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</si>
  <si>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</si>
  <si>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</si>
  <si>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</si>
  <si>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</si>
  <si>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</si>
  <si>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</si>
  <si>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</si>
  <si>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</si>
  <si>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</si>
  <si>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</si>
  <si>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</si>
  <si>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</si>
  <si>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</si>
  <si>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</si>
  <si>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</si>
  <si>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</si>
  <si>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</si>
  <si>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</si>
  <si>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</si>
  <si>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</si>
  <si>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</si>
  <si>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</si>
  <si>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</si>
  <si>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</si>
  <si>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</si>
  <si>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</si>
  <si>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</si>
  <si>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</si>
  <si>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</si>
  <si>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</si>
  <si>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</si>
  <si>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</si>
  <si>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</si>
  <si>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</si>
  <si>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</si>
  <si>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</si>
  <si>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</si>
  <si>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</si>
  <si>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</si>
  <si>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</si>
  <si>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</si>
  <si>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</si>
  <si>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</si>
  <si>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</si>
  <si>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</si>
  <si>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</si>
  <si>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</si>
  <si>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</si>
  <si>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</si>
  <si>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</si>
  <si>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</si>
  <si>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</si>
  <si>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</si>
  <si>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</si>
  <si>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</si>
  <si>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</si>
  <si>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</si>
  <si>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</si>
  <si>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</si>
  <si>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</si>
  <si>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</si>
  <si>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</si>
  <si>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</si>
  <si>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</si>
  <si>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</si>
  <si>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</si>
  <si>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</si>
  <si>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</si>
  <si>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</si>
  <si>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</si>
  <si>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</si>
  <si>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</si>
  <si>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</si>
  <si>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</si>
  <si>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</si>
  <si>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</si>
  <si>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</si>
  <si>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</si>
  <si>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</si>
  <si>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</si>
  <si>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</si>
  <si>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</si>
  <si>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</si>
  <si>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</si>
  <si>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</si>
  <si>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</si>
  <si>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</si>
  <si>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</si>
  <si>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</si>
  <si>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</si>
  <si>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</si>
  <si>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</si>
  <si>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</si>
  <si>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</si>
  <si>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</si>
  <si>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</si>
  <si>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</si>
  <si>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</si>
  <si>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</si>
  <si>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</si>
  <si>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</si>
  <si>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</si>
  <si>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</si>
  <si>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</si>
  <si>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</si>
  <si>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</si>
  <si>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</si>
  <si>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</si>
  <si>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</si>
  <si>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</si>
  <si>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</si>
  <si>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</si>
  <si>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</si>
  <si>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</si>
  <si>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</si>
  <si>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</si>
  <si>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</si>
  <si>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</si>
  <si>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</si>
  <si>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</si>
  <si>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</si>
  <si>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</si>
  <si>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</si>
  <si>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</si>
  <si>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</si>
  <si>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</si>
  <si>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</si>
  <si>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</si>
  <si>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</si>
  <si>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</si>
  <si>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</si>
  <si>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</si>
  <si>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</si>
  <si>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</si>
  <si>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</si>
  <si>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</si>
  <si>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</si>
  <si>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</si>
  <si>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</si>
  <si>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</si>
  <si>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</si>
  <si>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</si>
  <si>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</si>
  <si>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</si>
  <si>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</si>
  <si>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</si>
  <si>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</si>
  <si>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</si>
  <si>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</si>
  <si>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</si>
  <si>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</si>
  <si>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</si>
  <si>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</si>
  <si>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</si>
  <si>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</si>
  <si>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</si>
  <si>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</si>
  <si>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</si>
  <si>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</si>
  <si>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</si>
  <si>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</si>
  <si>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</si>
  <si>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</si>
  <si>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</si>
  <si>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</si>
  <si>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</si>
  <si>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</si>
  <si>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</si>
  <si>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</si>
  <si>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</si>
  <si>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</si>
  <si>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</si>
  <si>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</si>
  <si>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</si>
  <si>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</si>
  <si>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</si>
  <si>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</si>
  <si>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</si>
  <si>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</si>
  <si>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</si>
  <si>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</si>
  <si>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</si>
  <si>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</si>
  <si>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</si>
  <si>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</si>
  <si>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</si>
  <si>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</si>
  <si>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</si>
  <si>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</si>
  <si>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</si>
  <si>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</si>
  <si>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</si>
  <si>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</si>
  <si>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</si>
  <si>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</si>
  <si>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</si>
  <si>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</si>
  <si>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</si>
  <si>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</si>
  <si>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</si>
  <si>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</si>
  <si>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</si>
  <si>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</si>
  <si>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</si>
  <si>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</si>
  <si>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</si>
  <si>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</si>
  <si>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</si>
  <si>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</si>
  <si>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</si>
  <si>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</si>
  <si>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</si>
  <si>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</si>
  <si>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</si>
  <si>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</si>
  <si>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</si>
  <si>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</si>
  <si>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</si>
  <si>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</si>
  <si>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</si>
  <si>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</si>
  <si>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</si>
  <si>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</si>
  <si>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</si>
  <si>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</si>
  <si>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</si>
  <si>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</si>
  <si>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</si>
  <si>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</si>
  <si>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</si>
  <si>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</si>
  <si>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</si>
  <si>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</si>
  <si>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</si>
  <si>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</si>
  <si>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</si>
  <si>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</si>
  <si>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</si>
  <si>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</si>
  <si>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</si>
  <si>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</si>
  <si>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</si>
  <si>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</si>
  <si>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</si>
  <si>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</si>
  <si>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</si>
  <si>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</si>
  <si>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</si>
  <si>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</si>
  <si>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</si>
  <si>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</si>
  <si>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</si>
  <si>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</si>
  <si>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</si>
  <si>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</si>
  <si>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</si>
  <si>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</si>
  <si>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</si>
  <si>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</si>
  <si>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</si>
  <si>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</si>
  <si>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</si>
  <si>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</si>
  <si>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</si>
  <si>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</si>
  <si>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</si>
  <si>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</si>
  <si>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</si>
  <si>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</si>
  <si>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</si>
  <si>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</si>
  <si>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</si>
  <si>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</si>
  <si>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</si>
  <si>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</si>
  <si>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</si>
  <si>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</si>
  <si>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</si>
  <si>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</si>
  <si>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</si>
  <si>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</si>
  <si>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</si>
  <si>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</si>
  <si>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</si>
  <si>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</si>
  <si>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</si>
  <si>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</si>
  <si>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</si>
  <si>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</si>
  <si>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</si>
  <si>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</si>
  <si>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</si>
  <si>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</si>
  <si>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</si>
  <si>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</si>
  <si>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</si>
  <si>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</si>
  <si>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</si>
  <si>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</si>
  <si>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</si>
  <si>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</si>
  <si>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</si>
  <si>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</si>
  <si>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</si>
  <si>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</si>
  <si>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</si>
  <si>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</si>
  <si>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</si>
  <si>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</si>
  <si>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</si>
  <si>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</si>
  <si>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</si>
  <si>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</si>
  <si>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</si>
  <si>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</si>
  <si>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</si>
  <si>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</si>
  <si>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</si>
  <si>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</si>
  <si>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</si>
  <si>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</si>
  <si>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</si>
  <si>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</si>
  <si>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</si>
  <si>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</si>
  <si>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</si>
  <si>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</si>
  <si>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</si>
  <si>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</si>
  <si>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</si>
  <si>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</si>
  <si>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</si>
  <si>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</si>
  <si>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</si>
  <si>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</si>
  <si>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</si>
  <si>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</si>
  <si>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</si>
  <si>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</si>
  <si>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</si>
  <si>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</si>
  <si>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</si>
  <si>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</si>
  <si>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</si>
  <si>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</si>
  <si>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</si>
  <si>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</si>
  <si>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</si>
  <si>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</si>
  <si>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</si>
  <si>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</si>
  <si>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</si>
  <si>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</si>
  <si>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</si>
  <si>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</si>
  <si>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</si>
  <si>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</si>
  <si>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</si>
  <si>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</si>
  <si>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</si>
  <si>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</si>
  <si>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</si>
  <si>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</si>
  <si>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</si>
  <si>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</si>
  <si>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</si>
  <si>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</si>
  <si>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</si>
  <si>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</si>
  <si>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</si>
  <si>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</si>
  <si>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</si>
  <si>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</si>
  <si>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</si>
  <si>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</si>
  <si>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</si>
  <si>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</si>
  <si>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</si>
  <si>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</si>
  <si>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</si>
  <si>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</si>
  <si>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</si>
  <si>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</si>
  <si>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</si>
  <si>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</si>
  <si>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</si>
  <si>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</si>
  <si>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</si>
  <si>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</si>
  <si>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</si>
  <si>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</si>
  <si>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</si>
  <si>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</si>
  <si>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</si>
  <si>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</si>
  <si>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</si>
  <si>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</si>
  <si>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</si>
  <si>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</si>
  <si>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</si>
  <si>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</si>
  <si>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</si>
  <si>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</si>
  <si>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</si>
  <si>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</si>
  <si>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</si>
  <si>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</si>
  <si>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</si>
  <si>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</si>
  <si>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</si>
  <si>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</si>
  <si>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</si>
  <si>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</si>
  <si>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</si>
  <si>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</si>
  <si>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</si>
  <si>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</si>
  <si>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</si>
  <si>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</si>
  <si>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</si>
  <si>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</si>
  <si>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</si>
  <si>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</si>
  <si>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</si>
  <si>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</si>
  <si>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</si>
  <si>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</si>
  <si>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</si>
  <si>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</si>
  <si>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</si>
  <si>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</si>
  <si>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</si>
  <si>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</si>
  <si>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</si>
  <si>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</si>
  <si>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</si>
  <si>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</si>
  <si>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</si>
  <si>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</si>
  <si>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</si>
  <si>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</si>
  <si>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</si>
  <si>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</si>
  <si>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</si>
  <si>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</si>
  <si>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</si>
  <si>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</si>
  <si>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</si>
  <si>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</si>
  <si>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</si>
  <si>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</si>
  <si>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</si>
  <si>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</si>
  <si>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</si>
  <si>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</si>
  <si>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</si>
  <si>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</si>
  <si>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</si>
  <si>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</si>
  <si>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</si>
  <si>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</si>
  <si>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</si>
  <si>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</si>
  <si>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</si>
  <si>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</si>
  <si>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</si>
  <si>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</si>
  <si>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</si>
  <si>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</si>
  <si>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</si>
  <si>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</si>
  <si>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</si>
  <si>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</si>
  <si>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</si>
  <si>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</si>
  <si>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</si>
  <si>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</si>
  <si>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</si>
  <si>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</si>
  <si>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</si>
  <si>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</si>
  <si>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</si>
  <si>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</si>
  <si>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</si>
  <si>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</si>
  <si>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</si>
  <si>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</si>
  <si>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</si>
  <si>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</si>
  <si>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</si>
  <si>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</si>
  <si>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</si>
  <si>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</si>
  <si>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</si>
  <si>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</si>
  <si>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</si>
  <si>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</si>
  <si>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</si>
  <si>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</si>
  <si>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</si>
  <si>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</si>
  <si>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</si>
  <si>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</si>
  <si>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</si>
  <si>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</si>
  <si>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</si>
  <si>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</si>
  <si>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</si>
  <si>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</si>
  <si>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</si>
  <si>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</si>
  <si>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</si>
  <si>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</si>
  <si>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</si>
  <si>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</si>
  <si>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</si>
  <si>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</si>
  <si>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</si>
  <si>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</si>
  <si>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</si>
  <si>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</si>
  <si>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</si>
  <si>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</si>
  <si>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</si>
  <si>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</si>
  <si>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</si>
  <si>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</si>
  <si>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</si>
  <si>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</si>
  <si>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</si>
  <si>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</si>
  <si>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</si>
  <si>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</si>
  <si>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</si>
  <si>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</si>
  <si>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</si>
  <si>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</si>
  <si>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</si>
  <si>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</si>
  <si>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</si>
  <si>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</si>
  <si>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</si>
  <si>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</si>
  <si>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</si>
  <si>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</si>
  <si>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</si>
  <si>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</si>
  <si>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</si>
  <si>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</si>
  <si>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</si>
  <si>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</si>
  <si>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</si>
  <si>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</si>
  <si>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</si>
  <si>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</si>
  <si>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</si>
  <si>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</si>
  <si>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</si>
  <si>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</si>
  <si>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</si>
  <si>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</si>
  <si>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</si>
  <si>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</si>
  <si>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</si>
  <si>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</si>
  <si>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</si>
  <si>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</si>
  <si>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</si>
  <si>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</si>
  <si>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</si>
  <si>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</si>
  <si>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</si>
  <si>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</si>
  <si>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</si>
  <si>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</si>
  <si>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</si>
  <si>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</si>
  <si>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</si>
  <si>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</si>
  <si>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</si>
  <si>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</si>
  <si>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</si>
  <si>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</si>
  <si>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</si>
  <si>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</si>
  <si>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</si>
  <si>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</si>
  <si>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</si>
  <si>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</si>
  <si>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</si>
  <si>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</si>
  <si>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</si>
  <si>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</si>
  <si>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</si>
  <si>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</si>
  <si>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</si>
  <si>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</si>
  <si>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</si>
  <si>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</si>
  <si>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</si>
  <si>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</si>
  <si>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</si>
  <si>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</si>
  <si>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</si>
  <si>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</si>
  <si>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</si>
  <si>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</si>
  <si>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</si>
  <si>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</si>
  <si>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</si>
  <si>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</si>
  <si>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</si>
  <si>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</si>
  <si>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</si>
  <si>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</si>
  <si>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</si>
  <si>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</si>
  <si>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</si>
  <si>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</si>
  <si>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</si>
  <si>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</si>
  <si>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</si>
  <si>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</si>
  <si>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</si>
  <si>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</si>
  <si>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</si>
  <si>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</si>
  <si>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</si>
  <si>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</si>
  <si>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</si>
  <si>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</si>
  <si>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</si>
  <si>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</si>
  <si>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</si>
  <si>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</si>
  <si>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</si>
  <si>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</si>
  <si>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</si>
  <si>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</si>
  <si>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</si>
  <si>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</si>
  <si>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</si>
  <si>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</si>
  <si>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</si>
  <si>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</si>
  <si>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</si>
  <si>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</si>
  <si>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</si>
  <si>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</si>
  <si>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</si>
  <si>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</si>
  <si>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</si>
  <si>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</si>
  <si>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</si>
  <si>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</si>
  <si>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</si>
  <si>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</si>
  <si>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</si>
  <si>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</si>
  <si>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</si>
  <si>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</si>
  <si>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</si>
  <si>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</si>
  <si>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</si>
  <si>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</si>
  <si>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</si>
  <si>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</si>
  <si>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</si>
  <si>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</si>
  <si>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</si>
  <si>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</si>
  <si>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</si>
  <si>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</si>
  <si>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</si>
  <si>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</si>
  <si>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</si>
  <si>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</si>
  <si>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</si>
  <si>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</si>
  <si>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</si>
  <si>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</si>
  <si>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</si>
  <si>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</si>
  <si>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</si>
  <si>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</si>
  <si>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</si>
  <si>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</si>
  <si>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</si>
  <si>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</si>
  <si>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</si>
  <si>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</si>
  <si>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</si>
  <si>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</si>
  <si>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</si>
  <si>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</si>
  <si>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</si>
  <si>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</si>
  <si>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</si>
  <si>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</si>
  <si>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</si>
  <si>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</si>
  <si>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</si>
  <si>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</si>
  <si>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</si>
  <si>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</si>
  <si>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</si>
  <si>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</si>
  <si>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</si>
  <si>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</si>
  <si>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</si>
  <si>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</si>
  <si>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</si>
  <si>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</si>
  <si>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</si>
  <si>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</si>
  <si>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</si>
  <si>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</si>
  <si>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</si>
  <si>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</si>
  <si>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</si>
  <si>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</si>
  <si>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</si>
  <si>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</si>
  <si>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</si>
  <si>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</si>
  <si>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</si>
  <si>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</si>
  <si>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</si>
  <si>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</si>
  <si>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</si>
  <si>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</si>
  <si>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</si>
  <si>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</si>
  <si>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</si>
  <si>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</si>
  <si>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</si>
  <si>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</si>
  <si>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</si>
  <si>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</si>
  <si>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</si>
  <si>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</si>
  <si>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</si>
  <si>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</si>
  <si>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</si>
  <si>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</si>
  <si>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</si>
  <si>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</si>
  <si>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</si>
  <si>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</si>
  <si>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</si>
  <si>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</si>
  <si>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</si>
  <si>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</si>
  <si>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</si>
  <si>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</si>
  <si>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</si>
  <si>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</si>
  <si>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</si>
  <si>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</si>
  <si>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</si>
  <si>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</si>
  <si>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</si>
  <si>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</si>
  <si>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</si>
  <si>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</si>
  <si>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</si>
  <si>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</si>
  <si>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</si>
  <si>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</si>
  <si>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</si>
  <si>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</si>
  <si>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</si>
  <si>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</si>
  <si>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</si>
  <si>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</si>
  <si>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</si>
  <si>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</si>
  <si>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</si>
  <si>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</si>
  <si>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</si>
  <si>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</si>
  <si>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</si>
  <si>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</si>
  <si>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</si>
  <si>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</si>
  <si>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</si>
  <si>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</si>
  <si>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</si>
  <si>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</si>
  <si>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</si>
  <si>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</si>
  <si>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</si>
  <si>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</si>
  <si>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</si>
  <si>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</si>
  <si>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</si>
  <si>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</si>
  <si>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</si>
  <si>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</si>
  <si>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</si>
  <si>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</si>
  <si>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</si>
  <si>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</si>
  <si>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</si>
  <si>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</si>
  <si>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</si>
  <si>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</si>
  <si>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</si>
  <si>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</si>
  <si>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</si>
  <si>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</si>
  <si>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</si>
  <si>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</si>
  <si>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</si>
  <si>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</si>
  <si>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</si>
  <si>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</si>
  <si>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</si>
  <si>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</si>
  <si>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</si>
  <si>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</si>
  <si>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</si>
  <si>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</si>
  <si>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</si>
  <si>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</si>
  <si>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</si>
  <si>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</si>
  <si>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</si>
  <si>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</si>
  <si>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</si>
  <si>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</si>
  <si>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</si>
  <si>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</si>
  <si>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</si>
  <si>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</si>
  <si>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</si>
  <si>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</si>
  <si>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</si>
  <si>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</si>
  <si>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</si>
  <si>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</si>
  <si>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</si>
  <si>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</si>
  <si>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</si>
  <si>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</si>
  <si>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</si>
  <si>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</si>
  <si>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</si>
  <si>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</si>
  <si>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</si>
  <si>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</si>
  <si>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</si>
  <si>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</si>
  <si>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</si>
  <si>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</si>
  <si>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</si>
  <si>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</si>
  <si>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</si>
  <si>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</si>
  <si>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</si>
  <si>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</si>
  <si>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</si>
  <si>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</si>
  <si>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</si>
  <si>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</si>
  <si>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</si>
  <si>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</si>
  <si>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</si>
  <si>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</si>
  <si>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</si>
  <si>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</si>
  <si>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</si>
  <si>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</si>
  <si>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</si>
  <si>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</si>
  <si>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</si>
  <si>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</si>
  <si>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</si>
  <si>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</si>
  <si>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</si>
  <si>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</si>
  <si>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</si>
  <si>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</si>
  <si>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</si>
  <si>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</si>
  <si>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</si>
  <si>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</si>
  <si>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</si>
  <si>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</si>
  <si>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</si>
  <si>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</si>
  <si>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</si>
  <si>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</si>
  <si>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</si>
  <si>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</si>
  <si>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</si>
  <si>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</si>
  <si>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</si>
  <si>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</si>
  <si>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</si>
  <si>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</si>
  <si>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</si>
  <si>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</si>
  <si>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</si>
  <si>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</si>
  <si>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</si>
  <si>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</si>
  <si>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</si>
  <si>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</si>
  <si>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</si>
  <si>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</si>
  <si>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</si>
  <si>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</si>
  <si>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</si>
  <si>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</si>
  <si>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</si>
  <si>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</si>
  <si>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</si>
  <si>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</si>
  <si>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</si>
  <si>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</si>
  <si>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</si>
  <si>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</si>
  <si>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</si>
  <si>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</si>
  <si>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</si>
  <si>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</si>
  <si>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</si>
  <si>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</si>
  <si>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</si>
  <si>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</si>
  <si>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</si>
  <si>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</si>
  <si>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</si>
  <si>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</si>
  <si>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</si>
  <si>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</si>
  <si>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</si>
  <si>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</si>
  <si>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</si>
  <si>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</si>
  <si>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</si>
  <si>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</si>
  <si>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</si>
  <si>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</si>
  <si>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</si>
  <si>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</si>
  <si>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</si>
  <si>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</si>
  <si>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</si>
  <si>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</si>
  <si>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</si>
  <si>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</si>
  <si>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</si>
  <si>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</si>
  <si>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</si>
  <si>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</si>
  <si>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</si>
  <si>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</si>
  <si>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</si>
  <si>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</si>
  <si>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</si>
  <si>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</si>
  <si>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</si>
  <si>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</si>
  <si>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</si>
  <si>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</si>
  <si>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</si>
  <si>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</si>
  <si>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</si>
  <si>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</si>
  <si>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</si>
  <si>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</si>
  <si>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</si>
  <si>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</si>
  <si>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</si>
  <si>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</si>
  <si>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</si>
  <si>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</si>
  <si>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</si>
  <si>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</si>
  <si>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</si>
  <si>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</si>
  <si>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</si>
  <si>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</si>
  <si>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</si>
  <si>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</si>
  <si>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</si>
  <si>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</si>
  <si>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</si>
  <si>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</si>
  <si>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</si>
  <si>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</si>
  <si>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</si>
  <si>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</si>
  <si>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</si>
  <si>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</si>
  <si>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</si>
  <si>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</si>
  <si>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</si>
  <si>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</si>
  <si>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</si>
  <si>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</si>
  <si>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</si>
  <si>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</si>
  <si>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</si>
  <si>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</si>
  <si>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</si>
  <si>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</si>
  <si>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</si>
  <si>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</si>
  <si>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</si>
  <si>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</si>
  <si>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</si>
  <si>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</si>
  <si>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</si>
  <si>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</si>
  <si>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</si>
  <si>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</si>
  <si>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</si>
  <si>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</si>
  <si>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</si>
  <si>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</si>
  <si>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</si>
  <si>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</si>
  <si>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</si>
  <si>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</si>
  <si>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</si>
  <si>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</si>
  <si>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</si>
  <si>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</si>
  <si>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</si>
  <si>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</si>
  <si>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</si>
  <si>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</si>
  <si>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</si>
  <si>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</si>
  <si>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</si>
  <si>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</si>
  <si>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</si>
  <si>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</si>
  <si>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</si>
  <si>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</si>
  <si>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</si>
  <si>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</si>
  <si>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</si>
  <si>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</si>
  <si>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</si>
  <si>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</si>
  <si>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</si>
  <si>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</si>
  <si>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</si>
  <si>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</si>
  <si>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</si>
  <si>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</si>
  <si>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</si>
  <si>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</si>
  <si>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</si>
  <si>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</si>
  <si>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</si>
  <si>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</si>
  <si>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</si>
  <si>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</si>
  <si>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</si>
  <si>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</si>
  <si>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</si>
  <si>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</si>
  <si>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</si>
  <si>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</si>
  <si>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</si>
  <si>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</si>
  <si>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</si>
  <si>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</si>
  <si>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</si>
  <si>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</si>
  <si>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</si>
  <si>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</si>
  <si>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</si>
  <si>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</si>
  <si>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</si>
  <si>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</si>
  <si>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</si>
  <si>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</si>
  <si>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</si>
  <si>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</si>
  <si>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</si>
  <si>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</si>
  <si>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</si>
  <si>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</si>
  <si>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</si>
  <si>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</si>
  <si>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</si>
  <si>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</si>
  <si>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</si>
  <si>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</si>
  <si>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</si>
  <si>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</si>
  <si>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</si>
  <si>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</si>
  <si>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</si>
  <si>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</si>
  <si>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</si>
  <si>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</si>
  <si>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</si>
  <si>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</si>
  <si>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</si>
  <si>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</si>
  <si>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</si>
  <si>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</si>
  <si>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</si>
  <si>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</si>
  <si>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</si>
  <si>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</si>
  <si>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</si>
  <si>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</si>
  <si>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</si>
  <si>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</si>
  <si>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</si>
  <si>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</si>
  <si>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</si>
  <si>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</si>
  <si>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</si>
  <si>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</si>
  <si>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</si>
  <si>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</si>
  <si>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</si>
  <si>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</si>
  <si>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</si>
  <si>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</si>
  <si>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</si>
  <si>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</si>
  <si>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</si>
  <si>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</si>
  <si>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</si>
  <si>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</si>
  <si>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</si>
  <si>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</si>
  <si>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</si>
  <si>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</si>
  <si>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</si>
  <si>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</si>
  <si>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</si>
  <si>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</si>
  <si>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</si>
  <si>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</si>
  <si>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</si>
  <si>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</si>
  <si>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</si>
  <si>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</si>
  <si>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</si>
  <si>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</si>
  <si>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</si>
  <si>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</si>
  <si>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</si>
  <si>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</si>
  <si>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</si>
  <si>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</si>
  <si>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</si>
  <si>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</si>
  <si>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</si>
  <si>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</si>
  <si>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</si>
  <si>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</si>
  <si>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</si>
  <si>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</si>
  <si>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</si>
  <si>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</si>
  <si>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</si>
  <si>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</si>
  <si>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</si>
  <si>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</si>
  <si>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</si>
  <si>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</si>
  <si>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</si>
  <si>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</si>
  <si>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</si>
  <si>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</si>
  <si>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</si>
  <si>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</si>
  <si>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</si>
  <si>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</si>
  <si>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</si>
  <si>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</si>
  <si>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</si>
  <si>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</si>
  <si>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</si>
  <si>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</si>
  <si>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</si>
  <si>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</si>
  <si>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</si>
  <si>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</si>
  <si>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</si>
  <si>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</si>
  <si>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</si>
  <si>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</si>
  <si>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</si>
  <si>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</si>
  <si>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</si>
  <si>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</si>
  <si>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</si>
  <si>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</si>
  <si>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</si>
  <si>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</si>
  <si>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</si>
  <si>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</si>
  <si>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</si>
  <si>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</si>
  <si>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</si>
  <si>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</si>
  <si>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</si>
  <si>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</si>
  <si>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</si>
  <si>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</si>
  <si>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</si>
  <si>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</si>
  <si>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</si>
  <si>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</si>
  <si>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</si>
  <si>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</si>
  <si>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</si>
  <si>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</si>
  <si>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</si>
  <si>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</si>
  <si>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</si>
  <si>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</si>
  <si>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</si>
  <si>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</si>
  <si>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</si>
  <si>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</si>
  <si>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</si>
  <si>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</si>
  <si>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</si>
  <si>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</si>
  <si>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</si>
  <si>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</si>
  <si>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</si>
  <si>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</si>
  <si>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</si>
  <si>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</si>
  <si>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</si>
  <si>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</si>
  <si>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</si>
  <si>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</si>
  <si>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</si>
  <si>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</si>
  <si>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</si>
  <si>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</si>
  <si>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</si>
  <si>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</si>
  <si>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</si>
  <si>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</si>
  <si>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</si>
  <si>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</si>
  <si>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</si>
  <si>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</si>
  <si>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</si>
  <si>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</si>
  <si>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</si>
  <si>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</si>
  <si>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</si>
  <si>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</si>
  <si>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</si>
  <si>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</si>
  <si>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</si>
  <si>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</si>
  <si>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</si>
  <si>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</si>
  <si>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</si>
  <si>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</si>
  <si>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</si>
  <si>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</si>
  <si>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</si>
  <si>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</si>
  <si>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</si>
  <si>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</si>
  <si>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</si>
  <si>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</si>
  <si>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</si>
  <si>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</si>
  <si>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</si>
  <si>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</si>
  <si>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</si>
  <si>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</si>
  <si>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</si>
  <si>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</si>
  <si>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</si>
  <si>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</si>
  <si>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</si>
  <si>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</si>
  <si>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</si>
  <si>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</si>
  <si>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</si>
  <si>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</si>
  <si>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</si>
  <si>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</si>
  <si>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</si>
  <si>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</si>
  <si>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</si>
  <si>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</si>
  <si>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</si>
  <si>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</si>
  <si>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</si>
  <si>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</si>
  <si>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</si>
  <si>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</si>
  <si>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</si>
  <si>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</si>
  <si>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</si>
  <si>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</si>
  <si>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</si>
  <si>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</si>
  <si>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</si>
  <si>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</si>
  <si>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</si>
  <si>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</si>
  <si>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</si>
  <si>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</si>
  <si>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</si>
  <si>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</si>
  <si>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</si>
  <si>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</si>
  <si>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</si>
  <si>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</si>
  <si>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</si>
  <si>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</si>
  <si>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</si>
  <si>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</si>
  <si>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</si>
  <si>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</si>
  <si>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</si>
  <si>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</si>
  <si>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</si>
  <si>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</si>
  <si>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</si>
  <si>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</si>
  <si>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</si>
  <si>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</si>
  <si>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</si>
  <si>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</si>
  <si>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</si>
  <si>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</si>
  <si>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</si>
  <si>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</si>
  <si>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</si>
  <si>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</si>
  <si>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</si>
  <si>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</si>
  <si>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</si>
  <si>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</si>
  <si>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</si>
  <si>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</si>
  <si>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</si>
  <si>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</si>
  <si>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</si>
  <si>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</si>
  <si>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</si>
  <si>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</si>
  <si>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</si>
  <si>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</si>
  <si>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</si>
  <si>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</si>
  <si>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</si>
  <si>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</si>
  <si>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</si>
  <si>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</si>
  <si>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</si>
  <si>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</si>
  <si>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</si>
  <si>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</si>
  <si>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</si>
  <si>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</si>
  <si>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</si>
  <si>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</si>
  <si>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</si>
  <si>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</si>
  <si>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</si>
  <si>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</si>
  <si>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</si>
  <si>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</si>
  <si>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</si>
  <si>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</si>
  <si>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</si>
  <si>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</si>
  <si>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</si>
  <si>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</si>
  <si>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</si>
  <si>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</si>
  <si>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</si>
  <si>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</si>
  <si>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</si>
  <si>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</si>
  <si>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</si>
  <si>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</si>
  <si>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</si>
  <si>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</si>
  <si>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</si>
  <si>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</si>
  <si>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</si>
  <si>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</si>
  <si>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</si>
  <si>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</si>
  <si>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</si>
  <si>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</si>
  <si>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</si>
  <si>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</si>
  <si>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</si>
  <si>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</si>
  <si>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</si>
  <si>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</si>
  <si>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</si>
  <si>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</si>
  <si>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</si>
  <si>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</si>
  <si>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</si>
  <si>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</si>
  <si>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</si>
  <si>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</si>
  <si>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</si>
  <si>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</si>
  <si>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</si>
  <si>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</si>
  <si>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</si>
  <si>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</si>
  <si>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</si>
  <si>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</si>
  <si>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</si>
  <si>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</si>
  <si>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</si>
  <si>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</si>
  <si>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</si>
  <si>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</si>
  <si>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</si>
  <si>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</si>
  <si>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</si>
  <si>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</si>
  <si>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</si>
  <si>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</si>
  <si>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</si>
  <si>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</si>
  <si>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</si>
  <si>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</si>
  <si>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</si>
  <si>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</si>
  <si>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</si>
  <si>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</si>
  <si>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</si>
  <si>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</si>
  <si>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</si>
  <si>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</si>
  <si>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</si>
  <si>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</si>
  <si>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</si>
  <si>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</si>
  <si>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</si>
  <si>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</si>
  <si>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</si>
  <si>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</si>
  <si>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</si>
  <si>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</si>
  <si>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</si>
  <si>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</si>
  <si>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</si>
  <si>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</si>
  <si>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</si>
  <si>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</si>
  <si>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</si>
  <si>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</si>
  <si>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</si>
  <si>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</si>
  <si>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</si>
  <si>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</si>
  <si>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</si>
  <si>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</si>
  <si>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</si>
  <si>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</si>
  <si>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</si>
  <si>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</si>
  <si>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</si>
  <si>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</si>
  <si>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</si>
  <si>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</si>
  <si>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</si>
  <si>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</si>
  <si>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</si>
  <si>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</si>
  <si>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</si>
  <si>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</si>
  <si>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</si>
  <si>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</si>
  <si>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</si>
  <si>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</si>
  <si>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</si>
  <si>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</si>
  <si>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</si>
  <si>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</si>
  <si>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</si>
  <si>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</si>
  <si>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</si>
  <si>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</si>
  <si>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</si>
  <si>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</si>
  <si>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</si>
  <si>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</si>
  <si>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</si>
  <si>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</si>
  <si>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</si>
  <si>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</si>
  <si>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</si>
  <si>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</si>
  <si>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</si>
  <si>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</si>
  <si>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</si>
  <si>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</si>
  <si>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</si>
  <si>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</si>
  <si>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</si>
  <si>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</si>
  <si>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</si>
  <si>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</si>
  <si>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</si>
  <si>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</si>
  <si>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</si>
  <si>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</si>
  <si>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</si>
  <si>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</si>
  <si>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</si>
  <si>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</si>
  <si>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</si>
  <si>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</si>
  <si>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</si>
  <si>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</si>
  <si>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</si>
  <si>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</si>
  <si>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</si>
  <si>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</si>
  <si>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</si>
  <si>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</si>
  <si>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</si>
  <si>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</si>
  <si>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</si>
  <si>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</si>
  <si>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</si>
  <si>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</si>
  <si>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</si>
  <si>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</si>
  <si>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</si>
  <si>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</si>
  <si>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</si>
  <si>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</si>
  <si>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</si>
  <si>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</si>
  <si>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</si>
  <si>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</si>
  <si>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</si>
  <si>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</si>
  <si>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</si>
  <si>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</si>
  <si>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</si>
  <si>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</si>
  <si>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</si>
  <si>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</si>
  <si>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</si>
  <si>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</si>
  <si>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</si>
  <si>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</si>
  <si>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</si>
  <si>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</si>
  <si>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</si>
  <si>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</si>
  <si>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</si>
  <si>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</si>
  <si>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</si>
  <si>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</si>
  <si>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</si>
  <si>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</si>
  <si>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</si>
  <si>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</si>
  <si>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</si>
  <si>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</si>
  <si>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</si>
  <si>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</si>
  <si>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</si>
  <si>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</si>
  <si>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</si>
  <si>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</si>
  <si>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</si>
  <si>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</si>
  <si>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</si>
  <si>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</si>
  <si>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</si>
  <si>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</si>
  <si>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</si>
  <si>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</si>
  <si>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</si>
  <si>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</si>
  <si>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</si>
  <si>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</si>
  <si>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</si>
  <si>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</si>
  <si>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</si>
  <si>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</si>
  <si>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</si>
  <si>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</si>
  <si>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</si>
  <si>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</si>
  <si>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</si>
  <si>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</si>
  <si>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</si>
  <si>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</si>
  <si>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</si>
  <si>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</si>
  <si>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</si>
  <si>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</si>
  <si>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</si>
  <si>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</si>
  <si>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</si>
  <si>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</si>
  <si>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</si>
  <si>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</si>
  <si>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</si>
  <si>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</si>
  <si>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</si>
  <si>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</si>
  <si>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</si>
  <si>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</si>
  <si>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</si>
  <si>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</si>
  <si>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</si>
  <si>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</si>
  <si>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</si>
  <si>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</si>
  <si>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</si>
  <si>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</si>
  <si>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</si>
  <si>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</si>
  <si>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</si>
  <si>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</si>
  <si>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</si>
  <si>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</si>
  <si>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</si>
  <si>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</si>
  <si>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</si>
  <si>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</si>
  <si>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</si>
  <si>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</si>
  <si>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</si>
  <si>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</si>
  <si>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</si>
  <si>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</si>
  <si>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</si>
  <si>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</si>
  <si>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</si>
  <si>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</si>
  <si>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</si>
  <si>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</si>
  <si>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</si>
  <si>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</si>
  <si>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</si>
  <si>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</si>
  <si>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</si>
  <si>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</si>
  <si>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</si>
  <si>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</si>
  <si>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</si>
  <si>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</si>
  <si>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</si>
  <si>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</si>
  <si>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</si>
  <si>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</si>
  <si>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</si>
  <si>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</si>
  <si>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</si>
  <si>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</si>
  <si>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</si>
  <si>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</si>
  <si>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</si>
  <si>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</si>
  <si>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</si>
  <si>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</si>
  <si>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</si>
  <si>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</si>
  <si>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</si>
  <si>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</si>
  <si>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</si>
  <si>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</si>
  <si>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</si>
  <si>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</si>
  <si>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</si>
  <si>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</si>
  <si>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</si>
  <si>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</si>
  <si>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</si>
  <si>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</si>
  <si>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</si>
  <si>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</si>
  <si>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</si>
  <si>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</si>
  <si>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</si>
  <si>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</si>
  <si>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</si>
  <si>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</si>
  <si>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</si>
  <si>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</si>
  <si>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</si>
  <si>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</si>
  <si>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</si>
  <si>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</si>
  <si>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</si>
  <si>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</si>
  <si>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</si>
  <si>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</si>
  <si>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</si>
  <si>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</si>
  <si>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</si>
  <si>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</si>
  <si>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</si>
  <si>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</si>
  <si>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</si>
  <si>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</si>
  <si>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</si>
  <si>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</si>
  <si>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</si>
  <si>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</si>
  <si>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</si>
  <si>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</si>
  <si>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</si>
  <si>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</si>
  <si>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</si>
  <si>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</si>
  <si>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</si>
  <si>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</si>
  <si>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</si>
  <si>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</si>
  <si>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</si>
  <si>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</si>
  <si>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</si>
  <si>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</si>
  <si>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</si>
  <si>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</si>
  <si>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</si>
  <si>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</si>
  <si>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</si>
  <si>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</si>
  <si>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</si>
  <si>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</si>
  <si>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</si>
  <si>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</si>
  <si>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</si>
  <si>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</si>
  <si>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</si>
  <si>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</si>
  <si>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</si>
  <si>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</si>
  <si>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</si>
  <si>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</si>
  <si>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</si>
  <si>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</si>
  <si>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</si>
  <si>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</si>
  <si>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</si>
  <si>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</si>
  <si>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</si>
  <si>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</si>
  <si>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</si>
  <si>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</si>
  <si>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</si>
  <si>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</si>
  <si>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</si>
  <si>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</si>
  <si>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</si>
  <si>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</si>
  <si>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</si>
  <si>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</si>
  <si>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</si>
  <si>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</si>
  <si>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</si>
  <si>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</si>
  <si>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</si>
  <si>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</si>
  <si>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</si>
  <si>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</si>
  <si>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</si>
  <si>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</si>
  <si>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</si>
  <si>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</si>
  <si>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</si>
  <si>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</si>
  <si>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</si>
  <si>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</si>
  <si>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</si>
  <si>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</si>
  <si>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</si>
  <si>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</si>
  <si>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</si>
  <si>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</si>
  <si>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</si>
  <si>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</si>
  <si>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</si>
  <si>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</si>
  <si>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</si>
  <si>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</si>
  <si>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</si>
  <si>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</si>
  <si>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</si>
  <si>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</si>
  <si>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</si>
  <si>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</si>
  <si>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</si>
  <si>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</si>
  <si>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</si>
  <si>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</si>
  <si>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</si>
  <si>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</si>
  <si>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</si>
  <si>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</si>
  <si>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</si>
  <si>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</si>
  <si>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</si>
  <si>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</si>
  <si>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</si>
  <si>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</si>
  <si>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</si>
  <si>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</si>
  <si>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</si>
  <si>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</si>
  <si>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</si>
  <si>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</si>
  <si>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</si>
  <si>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</si>
  <si>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</si>
  <si>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</si>
  <si>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</si>
  <si>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</si>
  <si>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</si>
  <si>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</si>
  <si>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</si>
  <si>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</si>
  <si>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</si>
  <si>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</si>
  <si>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</si>
  <si>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</si>
  <si>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</si>
  <si>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</si>
  <si>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</si>
  <si>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</si>
  <si>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</si>
  <si>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</si>
  <si>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</si>
  <si>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</si>
  <si>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</si>
  <si>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</si>
  <si>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</si>
  <si>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</si>
  <si>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</si>
  <si>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</si>
  <si>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</si>
  <si>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</si>
  <si>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</si>
  <si>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</si>
  <si>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</si>
  <si>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</si>
  <si>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</si>
  <si>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</si>
  <si>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</si>
  <si>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</si>
  <si>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</si>
  <si>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</si>
  <si>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</si>
  <si>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</si>
  <si>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</si>
  <si>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</si>
  <si>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</si>
  <si>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</si>
  <si>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</si>
  <si>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</si>
  <si>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</si>
  <si>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</si>
  <si>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</si>
  <si>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</si>
  <si>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</si>
  <si>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</si>
  <si>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</si>
  <si>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</si>
  <si>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</si>
  <si>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</si>
  <si>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</si>
  <si>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</si>
  <si>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</si>
  <si>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</si>
  <si>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</si>
  <si>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</si>
  <si>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</si>
  <si>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</si>
  <si>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</si>
  <si>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</si>
  <si>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</si>
  <si>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</si>
  <si>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</si>
  <si>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</si>
  <si>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</si>
  <si>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</si>
  <si>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</si>
  <si>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</si>
  <si>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</si>
  <si>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</si>
  <si>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</si>
  <si>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</si>
  <si>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</si>
  <si>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</si>
  <si>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</si>
  <si>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</si>
  <si>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</si>
  <si>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</si>
  <si>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</si>
  <si>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</si>
  <si>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</si>
  <si>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</si>
  <si>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</si>
  <si>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</si>
  <si>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</si>
  <si>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</si>
  <si>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</si>
  <si>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</si>
  <si>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</si>
  <si>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</si>
  <si>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</si>
  <si>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</si>
  <si>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</si>
  <si>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</si>
  <si>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</si>
  <si>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</si>
  <si>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</si>
  <si>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</si>
  <si>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</si>
  <si>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</si>
  <si>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</si>
  <si>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</si>
  <si>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</si>
  <si>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</si>
  <si>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</si>
  <si>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</si>
  <si>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</si>
  <si>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</si>
  <si>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</si>
  <si>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</si>
  <si>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</si>
  <si>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</si>
  <si>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</si>
  <si>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</si>
  <si>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</si>
  <si>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</si>
  <si>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</si>
  <si>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</si>
  <si>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</si>
  <si>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</si>
  <si>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</si>
  <si>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</si>
  <si>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</si>
  <si>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</si>
  <si>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</si>
  <si>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</si>
  <si>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</si>
  <si>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</si>
  <si>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</si>
  <si>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</si>
  <si>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</si>
  <si>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</si>
  <si>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</si>
  <si>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</si>
  <si>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</si>
  <si>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</si>
  <si>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</si>
  <si>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</si>
  <si>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</si>
  <si>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</si>
  <si>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</si>
  <si>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</si>
  <si>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</si>
  <si>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</si>
  <si>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</si>
  <si>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</si>
  <si>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</si>
  <si>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</si>
  <si>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</si>
  <si>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</si>
  <si>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</si>
  <si>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</si>
  <si>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</si>
  <si>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</si>
  <si>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</si>
  <si>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</si>
  <si>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</si>
  <si>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</si>
  <si>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</si>
  <si>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</si>
  <si>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</si>
  <si>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</si>
  <si>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</si>
  <si>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</si>
  <si>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</si>
  <si>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</si>
  <si>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</si>
  <si>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</si>
  <si>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</si>
  <si>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</si>
  <si>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</si>
  <si>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</si>
  <si>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</si>
  <si>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</si>
  <si>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</si>
  <si>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</si>
  <si>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</si>
  <si>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</si>
  <si>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</si>
  <si>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</si>
  <si>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</si>
  <si>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</si>
  <si>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</si>
  <si>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</si>
  <si>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</si>
  <si>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</si>
  <si>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</si>
  <si>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</si>
  <si>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</si>
  <si>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</si>
  <si>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</si>
  <si>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</si>
  <si>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</si>
  <si>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</si>
  <si>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</si>
  <si>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</si>
  <si>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</si>
  <si>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</si>
  <si>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</si>
  <si>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</si>
  <si>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</si>
  <si>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</si>
  <si>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</si>
  <si>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</si>
  <si>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</si>
  <si>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</si>
  <si>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</si>
  <si>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</si>
  <si>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</si>
  <si>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</si>
  <si>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</si>
  <si>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</si>
  <si>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</si>
  <si>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</si>
  <si>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</si>
  <si>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</si>
  <si>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</si>
  <si>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</si>
  <si>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</si>
  <si>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</si>
  <si>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</si>
  <si>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</si>
  <si>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</si>
  <si>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</si>
  <si>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</si>
  <si>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</si>
  <si>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</si>
  <si>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</si>
  <si>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</si>
  <si>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</si>
  <si>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</si>
  <si>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</si>
  <si>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</si>
  <si>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</si>
  <si>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</si>
  <si>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</si>
  <si>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</si>
  <si>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</si>
  <si>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</si>
  <si>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</si>
  <si>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</si>
  <si>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</si>
  <si>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</si>
  <si>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</si>
  <si>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</si>
  <si>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</si>
  <si>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</si>
  <si>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</si>
  <si>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</si>
  <si>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</si>
  <si>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</si>
  <si>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</si>
  <si>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</si>
  <si>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</si>
  <si>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</si>
  <si>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</si>
  <si>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</si>
  <si>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</si>
  <si>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</si>
  <si>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</si>
  <si>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</si>
  <si>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</si>
  <si>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</si>
  <si>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</si>
  <si>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</si>
  <si>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</si>
  <si>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</si>
  <si>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</si>
  <si>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</si>
  <si>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</si>
  <si>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</si>
  <si>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</si>
  <si>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</si>
  <si>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</si>
  <si>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</si>
  <si>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</si>
  <si>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</si>
  <si>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</si>
  <si>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</si>
  <si>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</si>
  <si>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</si>
  <si>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</si>
  <si>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</si>
  <si>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</si>
  <si>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</si>
  <si>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</si>
  <si>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</si>
  <si>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</si>
  <si>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</si>
  <si>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</si>
  <si>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</si>
  <si>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</si>
  <si>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</si>
  <si>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</si>
  <si>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</si>
  <si>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</si>
  <si>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</si>
  <si>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</si>
  <si>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</si>
  <si>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</si>
  <si>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</si>
  <si>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</si>
  <si>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</si>
  <si>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</si>
  <si>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</si>
  <si>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</si>
  <si>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</si>
  <si>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</si>
  <si>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</si>
  <si>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</si>
  <si>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</si>
  <si>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</si>
  <si>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</si>
  <si>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</si>
  <si>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</si>
  <si>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</si>
  <si>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</si>
  <si>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</si>
  <si>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</si>
  <si>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</si>
  <si>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</si>
  <si>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</si>
  <si>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</si>
  <si>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</si>
  <si>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</si>
  <si>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</si>
  <si>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</si>
  <si>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</si>
  <si>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</si>
  <si>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</si>
  <si>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</si>
  <si>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</si>
  <si>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</si>
  <si>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</si>
  <si>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</si>
  <si>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</si>
  <si>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</si>
  <si>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</si>
  <si>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</si>
  <si>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</si>
  <si>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</si>
  <si>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</si>
  <si>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</si>
  <si>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</si>
  <si>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</si>
  <si>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</si>
  <si>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</si>
  <si>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</si>
  <si>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</si>
  <si>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</si>
  <si>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</si>
  <si>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</si>
  <si>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ATENDER A NIÑOS Y NIÑAS MENORES DE 5 AÑOS, O HASTA SU INGRESO AL GRADO DE TRANSICIÓN, Y LA MUJER GESTANTE Y EN PERIODO DE LACTANCIA EN LOS SERVICIOS DE EDUCACIÓN INICIAL Y CUIDADO, CON EL FIN DE PROMOVER EL DESARROLLO INTEGRAL DE LA PRIMERA INFANCIA CON CALIDAD, DE CONFORMIDAD CON OS LINEAMIENTOS, LAS DIRECTRICES Y PARÁMETROS ESTABLECIDOS POR EL ICBF.</t>
  </si>
  <si>
    <t>ATENDER A LA PRIMERA INFANCIA EN EL MARCO DE LA ESTRATEGIA DE CERO A SIEMPRE, ESPECIFICAMENTE A LOS NIÑOS Y NIÑAS MENORES DE CINCO (5) AÑOS DE FAMILIAS EN SITUACION DE VULNERABILIDAD DE CONFORMIDAD CON LA DIRECTRICES, LINEAMIENTOS Y PARAMETROS ESTABLECIDOS POR EL ICBF, ASI COMO REGULAR LAS RELACIONES ENTRE LAS PARTES DERIVADAS DE LA ENTREGA DE APORTES DEL ICBF A LA ENTIDAD ADMINISTRADORA DEL SERVICIO EN LA MODALIDAD DE HOGARES COMUNITARIOS DE BIENESTAR EN LAS SIGUIENTES FORMAS DE ATENCION: FAMILIARES, MULTIPLES, GRUPALES, EMPRESARIALES, JARDINES SOCIALES, Y EN LA MODALIDAD FAMI.</t>
  </si>
  <si>
    <t>ATENDER A LA PRIMERA INFANCIA EN EL MARCO DE LA ESTRATEGIA DE CERO A SIEMPRE, ESPECIFICAMENTE A LOS NIÑOS Y NIÑAS MENORES DE CINCO (5) AÑOS DE FAMILIAS EN SITUACION DE VULNERABILIDAD DE CONFORMIDAD CON LAS DIRECTRICES, LINEAMIENTOS Y PARAMETROS ESTABLECIDOS POR EL ICBF, EN LAS SIGUIENTES FORMAS DE ATENCION: HOGARES COMUNITARIOS DE BIENESTAR TRADICIONALES, FAMILIARES, MULTIPLES, AGRUPADOS, EMPRESARIALES, JARDINES SOCIALES, FAMI Y HOGARES COMUNITARIOS INTEGRALES.</t>
  </si>
  <si>
    <t>PRESTAR EL SERVICIO DE ATENCION A NIÑAS Y NIÑOS Y A MUJERES GESTANTES EN EL MARCO DE LA POLITICA DE ESTADO PARA EL DESARROLLO INTEGRAL A LA PRIMERA INFANCIA DE CERO A SIEMPRE, DE CONFORMIDAD CON LAS DIRECTRICES, LIEAMIENTOS Y PARAMETROS ESTABLECIDOS POR EL ICBF PARA LOS SERVICIOS: HOGARES COMUNITARIOS DE BIENESTAR FAMILIARES Y FAMI.</t>
  </si>
  <si>
    <t>PRESTAR EL SERVICIO CENTROS DE DESARROLLO INFANTIL CDI, DE CONFORMIDAD CON EL MANUAL OPERATIVO DE LA MODALIDAD INSTITUCIONAL Y LAS DIRECTRICES ESTABLECIDAS POR EL ICBF, EN ARMONIA CON LA POLÍTICA DE ESTADO PARA EL DESARROLLO INTEGRAL DE LA PRIMERA INFANCIA DE CERO A SIEMPRE.</t>
  </si>
  <si>
    <t>PRESTAR LOS SERVICIOS: HOGARES COMUNITARIOS DE BIENESTAR FAMILIAR, AGRUPADOS Y FAMI DE CONFORMIDAD CON LAS DIRECTRICES, LINEAMIENTOS Y PARÁMETROS ESTABLECIDOS POR EL ICBF, EN ARMONIA CON LA POLITICA DE ESTADO PARA EL DESARROLLO INTEGRAL A LA PRIMERA INFANCIA DE CERO A SIEMPRE.</t>
  </si>
  <si>
    <t>76002932020</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</si>
  <si>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</si>
  <si>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76002942020</t>
  </si>
  <si>
    <t xml:space="preserve">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</si>
  <si>
    <t>76003192020</t>
  </si>
  <si>
    <t xml:space="preserve">PRESTAR LOS SERVICIOS DE EDUCACIÓN INICIAL EN EL MARCO DE LA ATENCIÓN INTEGRAL EN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</si>
  <si>
    <t>76007172020</t>
  </si>
  <si>
    <t>76007182020</t>
  </si>
  <si>
    <t>76007232020</t>
  </si>
  <si>
    <t>76007242020</t>
  </si>
  <si>
    <t>76007252020</t>
  </si>
  <si>
    <t>76003842020</t>
  </si>
  <si>
    <t xml:space="preserv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</si>
  <si>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 xml:space="preserve">	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</si>
  <si>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PI Y LAS DIRECTRICES ESTABLECIDAS POR EL ICBF, EN ARMONÍA CON LA POLÍTICA DE ESTADO PARA EL DESARROLLO INTEGRAL DELA PI</t>
  </si>
  <si>
    <t xml:space="preserve">	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t>
  </si>
  <si>
    <t>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</si>
  <si>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GLORIA PEÑA</t>
  </si>
  <si>
    <t>CALLE 39A # 46C 31 BARRIO  MARIANO RAMOS - CALI VALLE</t>
  </si>
  <si>
    <t>3155907635</t>
  </si>
  <si>
    <t>coomacovalle@gmail.com</t>
  </si>
  <si>
    <t xml:space="preserve">CALLE 39A # 46C 31 </t>
  </si>
  <si>
    <t>BRINDA ATENCION A LA PRIMERA INFANCIA NIÑOS Y NIÑAS MENORES DE SEIS (6) AÑOS, DE FAMILIAS CON VULNERABILIDAD ECONOMICA, SOCIAL, CULTURAL, NUTRICIONAL Y PSICOAFECTIVA, A TRAVES DE LOS HOGARES COMUNITARIOS DE BIENESTAR MODALIDAD DE 0 -7 AÑOS, PRIORITARIAMENTE EN SITUACION DE DESPLAZAMIENTO.</t>
  </si>
  <si>
    <t>ATENDER A LA PRIMERA INFANCIA EN LA ESTRATEGIA DE CERO A SIEMPRE</t>
  </si>
  <si>
    <t>19002312020</t>
  </si>
  <si>
    <t xml:space="preserve">	
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</si>
  <si>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762618335</t>
  </si>
  <si>
    <t>7626190200</t>
  </si>
  <si>
    <t>762616333</t>
  </si>
  <si>
    <t>7626161030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</si>
  <si>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</si>
  <si>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2021-19-20000050.0</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</si>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</sst>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view="pageBreakPreview" topLeftCell="G4" zoomScale="70" zoomScaleNormal="70" zoomScaleSheetLayoutView="70" zoomScalePageLayoutView="40" workbookViewId="0">
      <selection activeCell="M138" sqref="M138"/>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39" t="str">
        <f>HYPERLINK("#MI_Oferente_Singular!A114","CAPACIDAD RESIDUAL")</f>
        <v>CAPACIDAD RESIDUAL</v>
      </c>
      <c r="F8" s="240"/>
      <c r="G8" s="241"/>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39" t="str">
        <f>HYPERLINK("#MI_Oferente_Singular!A162","TALENTO HUMANO")</f>
        <v>TALENTO HUMANO</v>
      </c>
      <c r="F9" s="240"/>
      <c r="G9" s="241"/>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39" t="str">
        <f>HYPERLINK("#MI_Oferente_Singular!F162","INFRAESTRUCTURA")</f>
        <v>INFRAESTRUCTURA</v>
      </c>
      <c r="F10" s="240"/>
      <c r="G10" s="241"/>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2714</v>
      </c>
      <c r="D15" s="35"/>
      <c r="E15" s="35"/>
      <c r="F15" s="5"/>
      <c r="G15" s="32" t="s">
        <v>1168</v>
      </c>
      <c r="H15" s="103" t="s">
        <v>421</v>
      </c>
      <c r="I15" s="32" t="s">
        <v>2624</v>
      </c>
      <c r="J15" s="108" t="s">
        <v>2626</v>
      </c>
      <c r="L15" s="223" t="s">
        <v>8</v>
      </c>
      <c r="M15" s="223"/>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9" t="s">
        <v>11</v>
      </c>
      <c r="J19" s="140" t="s">
        <v>10</v>
      </c>
      <c r="K19" s="140" t="s">
        <v>2609</v>
      </c>
      <c r="L19" s="140" t="s">
        <v>1161</v>
      </c>
      <c r="M19" s="140" t="s">
        <v>1162</v>
      </c>
      <c r="N19" s="141" t="s">
        <v>2610</v>
      </c>
      <c r="O19" s="136"/>
      <c r="Q19" s="51"/>
      <c r="R19" s="51"/>
    </row>
    <row r="20" spans="1:23" ht="30" customHeight="1" x14ac:dyDescent="0.25">
      <c r="A20" s="9"/>
      <c r="B20" s="109">
        <v>900058270</v>
      </c>
      <c r="C20" s="5"/>
      <c r="D20" s="73"/>
      <c r="E20" s="5"/>
      <c r="F20" s="5"/>
      <c r="G20" s="5"/>
      <c r="H20" s="242"/>
      <c r="I20" s="148" t="s">
        <v>421</v>
      </c>
      <c r="J20" s="149" t="s">
        <v>436</v>
      </c>
      <c r="K20" s="150">
        <v>937295837</v>
      </c>
      <c r="L20" s="151"/>
      <c r="M20" s="151">
        <v>44561</v>
      </c>
      <c r="N20" s="134">
        <f>+(M20-L20)/30</f>
        <v>1485.3666666666666</v>
      </c>
      <c r="O20" s="137"/>
      <c r="U20" s="133"/>
      <c r="V20" s="105">
        <f ca="1">NOW()</f>
        <v>44193.79408738426</v>
      </c>
      <c r="W20" s="105">
        <f ca="1">NOW()</f>
        <v>44193.79408738426</v>
      </c>
    </row>
    <row r="21" spans="1:23" ht="30" customHeight="1" outlineLevel="1" x14ac:dyDescent="0.25">
      <c r="A21" s="9"/>
      <c r="B21" s="71"/>
      <c r="C21" s="5"/>
      <c r="D21" s="5"/>
      <c r="E21" s="5"/>
      <c r="F21" s="5"/>
      <c r="G21" s="5"/>
      <c r="H21" s="70"/>
      <c r="I21" s="148" t="s">
        <v>421</v>
      </c>
      <c r="J21" s="149" t="s">
        <v>431</v>
      </c>
      <c r="K21" s="150">
        <v>937295837</v>
      </c>
      <c r="L21" s="151"/>
      <c r="M21" s="151">
        <v>44561</v>
      </c>
      <c r="N21" s="134">
        <f t="shared" ref="N21:N35" si="0">+(M21-L21)/30</f>
        <v>1485.3666666666666</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8"/>
      <c r="I37" s="129"/>
      <c r="J37" s="129"/>
      <c r="K37" s="129"/>
      <c r="L37" s="129"/>
      <c r="M37" s="129"/>
      <c r="N37" s="129"/>
      <c r="O37" s="130"/>
    </row>
    <row r="38" spans="1:16" ht="21" customHeight="1" x14ac:dyDescent="0.25">
      <c r="A38" s="9"/>
      <c r="B38" s="237" t="str">
        <f>VLOOKUP(B20,EAS!A2:B1439,2,0)</f>
        <v>COOPERATIVA DE MADRES COMUNITARIAS DEL VALLE DEL CAUCA</v>
      </c>
      <c r="C38" s="237"/>
      <c r="D38" s="237"/>
      <c r="E38" s="237"/>
      <c r="F38" s="237"/>
      <c r="G38" s="5"/>
      <c r="H38" s="131"/>
      <c r="I38" s="246" t="s">
        <v>7</v>
      </c>
      <c r="J38" s="246"/>
      <c r="K38" s="246"/>
      <c r="L38" s="246"/>
      <c r="M38" s="246"/>
      <c r="N38" s="246"/>
      <c r="O38" s="132"/>
    </row>
    <row r="39" spans="1:16" ht="42.95" customHeight="1" thickBot="1" x14ac:dyDescent="0.3">
      <c r="A39" s="10"/>
      <c r="B39" s="11"/>
      <c r="C39" s="11"/>
      <c r="D39" s="11"/>
      <c r="E39" s="11"/>
      <c r="F39" s="11"/>
      <c r="G39" s="11"/>
      <c r="H39" s="10"/>
      <c r="I39" s="232" t="s">
        <v>2713</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0" t="s">
        <v>2676</v>
      </c>
      <c r="C48" s="111" t="s">
        <v>31</v>
      </c>
      <c r="D48" s="120">
        <v>7626071533</v>
      </c>
      <c r="E48" s="144">
        <v>39371</v>
      </c>
      <c r="F48" s="144">
        <v>39430</v>
      </c>
      <c r="G48" s="159">
        <f>IF(AND(E48&lt;&gt;"",F48&lt;&gt;""),((F48-E48)/30),"")</f>
        <v>1.9666666666666666</v>
      </c>
      <c r="H48" s="113" t="s">
        <v>2705</v>
      </c>
      <c r="I48" s="112" t="s">
        <v>1155</v>
      </c>
      <c r="J48" s="112" t="s">
        <v>1035</v>
      </c>
      <c r="K48" s="115">
        <v>7800305</v>
      </c>
      <c r="L48" s="114"/>
      <c r="M48" s="116">
        <v>1</v>
      </c>
      <c r="N48" s="114" t="s">
        <v>27</v>
      </c>
      <c r="O48" s="114" t="s">
        <v>1148</v>
      </c>
      <c r="P48" s="78"/>
    </row>
    <row r="49" spans="1:16" s="6" customFormat="1" ht="24.75" customHeight="1" x14ac:dyDescent="0.25">
      <c r="A49" s="142">
        <v>2</v>
      </c>
      <c r="B49" s="110" t="s">
        <v>2676</v>
      </c>
      <c r="C49" s="111" t="s">
        <v>31</v>
      </c>
      <c r="D49" s="120">
        <v>762608770</v>
      </c>
      <c r="E49" s="144">
        <v>39553</v>
      </c>
      <c r="F49" s="144">
        <v>39813</v>
      </c>
      <c r="G49" s="159">
        <f t="shared" ref="G49:G50" si="2">IF(AND(E49&lt;&gt;"",F49&lt;&gt;""),((F49-E49)/30),"")</f>
        <v>8.6666666666666661</v>
      </c>
      <c r="H49" s="113" t="s">
        <v>2705</v>
      </c>
      <c r="I49" s="112" t="s">
        <v>1155</v>
      </c>
      <c r="J49" s="112" t="s">
        <v>1035</v>
      </c>
      <c r="K49" s="115">
        <v>16118206</v>
      </c>
      <c r="L49" s="114"/>
      <c r="M49" s="116">
        <v>1</v>
      </c>
      <c r="N49" s="114" t="s">
        <v>27</v>
      </c>
      <c r="O49" s="114" t="s">
        <v>1148</v>
      </c>
      <c r="P49" s="78"/>
    </row>
    <row r="50" spans="1:16" s="6" customFormat="1" ht="24.75" customHeight="1" x14ac:dyDescent="0.25">
      <c r="A50" s="142">
        <v>3</v>
      </c>
      <c r="B50" s="110" t="s">
        <v>2676</v>
      </c>
      <c r="C50" s="111" t="s">
        <v>31</v>
      </c>
      <c r="D50" s="120">
        <v>762609330</v>
      </c>
      <c r="E50" s="144">
        <v>39815</v>
      </c>
      <c r="F50" s="144">
        <v>39903</v>
      </c>
      <c r="G50" s="159">
        <f t="shared" si="2"/>
        <v>2.9333333333333331</v>
      </c>
      <c r="H50" s="118" t="s">
        <v>2705</v>
      </c>
      <c r="I50" s="112" t="s">
        <v>1155</v>
      </c>
      <c r="J50" s="112" t="s">
        <v>1035</v>
      </c>
      <c r="K50" s="115">
        <v>5556985</v>
      </c>
      <c r="L50" s="114"/>
      <c r="M50" s="116">
        <v>1</v>
      </c>
      <c r="N50" s="114" t="s">
        <v>27</v>
      </c>
      <c r="O50" s="114" t="s">
        <v>1148</v>
      </c>
      <c r="P50" s="78"/>
    </row>
    <row r="51" spans="1:16" s="6" customFormat="1" ht="24.75" customHeight="1" outlineLevel="1" x14ac:dyDescent="0.25">
      <c r="A51" s="142">
        <v>4</v>
      </c>
      <c r="B51" s="110" t="s">
        <v>2676</v>
      </c>
      <c r="C51" s="111" t="s">
        <v>31</v>
      </c>
      <c r="D51" s="120">
        <v>7626091152</v>
      </c>
      <c r="E51" s="144">
        <v>39904</v>
      </c>
      <c r="F51" s="144">
        <v>40178</v>
      </c>
      <c r="G51" s="159">
        <f t="shared" ref="G51:G107" si="3">IF(AND(E51&lt;&gt;"",F51&lt;&gt;""),((F51-E51)/30),"")</f>
        <v>9.1333333333333329</v>
      </c>
      <c r="H51" s="113" t="s">
        <v>2705</v>
      </c>
      <c r="I51" s="112" t="s">
        <v>1155</v>
      </c>
      <c r="J51" s="112" t="s">
        <v>1035</v>
      </c>
      <c r="K51" s="115">
        <v>19613607</v>
      </c>
      <c r="L51" s="114"/>
      <c r="M51" s="116">
        <v>1</v>
      </c>
      <c r="N51" s="114" t="s">
        <v>27</v>
      </c>
      <c r="O51" s="114" t="s">
        <v>1148</v>
      </c>
      <c r="P51" s="78"/>
    </row>
    <row r="52" spans="1:16" s="7" customFormat="1" ht="24.75" customHeight="1" outlineLevel="1" x14ac:dyDescent="0.25">
      <c r="A52" s="143">
        <v>5</v>
      </c>
      <c r="B52" s="110" t="s">
        <v>2676</v>
      </c>
      <c r="C52" s="111" t="s">
        <v>31</v>
      </c>
      <c r="D52" s="120">
        <v>7626100377</v>
      </c>
      <c r="E52" s="144">
        <v>40180</v>
      </c>
      <c r="F52" s="144">
        <v>40543</v>
      </c>
      <c r="G52" s="159">
        <f t="shared" si="3"/>
        <v>12.1</v>
      </c>
      <c r="H52" s="118" t="s">
        <v>2705</v>
      </c>
      <c r="I52" s="112" t="s">
        <v>1155</v>
      </c>
      <c r="J52" s="112" t="s">
        <v>1035</v>
      </c>
      <c r="K52" s="115">
        <v>616604968</v>
      </c>
      <c r="L52" s="114"/>
      <c r="M52" s="116">
        <v>1</v>
      </c>
      <c r="N52" s="114" t="s">
        <v>27</v>
      </c>
      <c r="O52" s="114" t="s">
        <v>1148</v>
      </c>
      <c r="P52" s="79"/>
    </row>
    <row r="53" spans="1:16" s="7" customFormat="1" ht="24.75" customHeight="1" outlineLevel="1" x14ac:dyDescent="0.25">
      <c r="A53" s="143">
        <v>6</v>
      </c>
      <c r="B53" s="110" t="s">
        <v>2676</v>
      </c>
      <c r="C53" s="111" t="s">
        <v>31</v>
      </c>
      <c r="D53" s="120">
        <v>762611083</v>
      </c>
      <c r="E53" s="144">
        <v>40546</v>
      </c>
      <c r="F53" s="144">
        <v>40908</v>
      </c>
      <c r="G53" s="159">
        <f t="shared" si="3"/>
        <v>12.066666666666666</v>
      </c>
      <c r="H53" s="118" t="s">
        <v>2705</v>
      </c>
      <c r="I53" s="112" t="s">
        <v>1155</v>
      </c>
      <c r="J53" s="112" t="s">
        <v>1035</v>
      </c>
      <c r="K53" s="115">
        <v>387305903</v>
      </c>
      <c r="L53" s="114"/>
      <c r="M53" s="116">
        <v>1</v>
      </c>
      <c r="N53" s="114" t="s">
        <v>27</v>
      </c>
      <c r="O53" s="114" t="s">
        <v>1148</v>
      </c>
      <c r="P53" s="79"/>
    </row>
    <row r="54" spans="1:16" s="7" customFormat="1" ht="24.75" customHeight="1" outlineLevel="1" x14ac:dyDescent="0.25">
      <c r="A54" s="143">
        <v>7</v>
      </c>
      <c r="B54" s="110" t="s">
        <v>2676</v>
      </c>
      <c r="C54" s="111" t="s">
        <v>31</v>
      </c>
      <c r="D54" s="120">
        <v>7626121084</v>
      </c>
      <c r="E54" s="144">
        <v>41260</v>
      </c>
      <c r="F54" s="144">
        <v>41851</v>
      </c>
      <c r="G54" s="159">
        <f t="shared" si="3"/>
        <v>19.7</v>
      </c>
      <c r="H54" s="113" t="s">
        <v>2706</v>
      </c>
      <c r="I54" s="112" t="s">
        <v>1155</v>
      </c>
      <c r="J54" s="112" t="s">
        <v>1035</v>
      </c>
      <c r="K54" s="117">
        <v>861282083</v>
      </c>
      <c r="L54" s="114"/>
      <c r="M54" s="116">
        <v>1</v>
      </c>
      <c r="N54" s="114" t="s">
        <v>27</v>
      </c>
      <c r="O54" s="114" t="s">
        <v>1148</v>
      </c>
      <c r="P54" s="79"/>
    </row>
    <row r="55" spans="1:16" s="7" customFormat="1" ht="24.75" customHeight="1" outlineLevel="1" x14ac:dyDescent="0.25">
      <c r="A55" s="143">
        <v>8</v>
      </c>
      <c r="B55" s="110" t="s">
        <v>2676</v>
      </c>
      <c r="C55" s="111" t="s">
        <v>31</v>
      </c>
      <c r="D55" s="120">
        <v>762614198</v>
      </c>
      <c r="E55" s="144">
        <v>41663</v>
      </c>
      <c r="F55" s="144">
        <v>42369</v>
      </c>
      <c r="G55" s="159">
        <f t="shared" si="3"/>
        <v>23.533333333333335</v>
      </c>
      <c r="H55" s="113" t="s">
        <v>2706</v>
      </c>
      <c r="I55" s="112" t="s">
        <v>1155</v>
      </c>
      <c r="J55" s="112" t="s">
        <v>1035</v>
      </c>
      <c r="K55" s="117">
        <v>809390104</v>
      </c>
      <c r="L55" s="114"/>
      <c r="M55" s="116">
        <v>1</v>
      </c>
      <c r="N55" s="114" t="s">
        <v>27</v>
      </c>
      <c r="O55" s="114" t="s">
        <v>26</v>
      </c>
      <c r="P55" s="79"/>
    </row>
    <row r="56" spans="1:16" s="7" customFormat="1" ht="24.75" customHeight="1" outlineLevel="1" x14ac:dyDescent="0.25">
      <c r="A56" s="143">
        <v>9</v>
      </c>
      <c r="B56" s="110" t="s">
        <v>2676</v>
      </c>
      <c r="C56" s="111" t="s">
        <v>31</v>
      </c>
      <c r="D56" s="120">
        <v>762614870</v>
      </c>
      <c r="E56" s="144">
        <v>42005</v>
      </c>
      <c r="F56" s="144">
        <v>42369</v>
      </c>
      <c r="G56" s="159">
        <f t="shared" si="3"/>
        <v>12.133333333333333</v>
      </c>
      <c r="H56" s="113" t="s">
        <v>2677</v>
      </c>
      <c r="I56" s="112" t="s">
        <v>1155</v>
      </c>
      <c r="J56" s="112" t="s">
        <v>1035</v>
      </c>
      <c r="K56" s="117">
        <v>3326061528</v>
      </c>
      <c r="L56" s="114"/>
      <c r="M56" s="116">
        <v>1</v>
      </c>
      <c r="N56" s="114" t="s">
        <v>27</v>
      </c>
      <c r="O56" s="114" t="s">
        <v>1148</v>
      </c>
      <c r="P56" s="79"/>
    </row>
    <row r="57" spans="1:16" s="7" customFormat="1" ht="24.75" customHeight="1" outlineLevel="1" x14ac:dyDescent="0.25">
      <c r="A57" s="143">
        <v>10</v>
      </c>
      <c r="B57" s="64" t="s">
        <v>2676</v>
      </c>
      <c r="C57" s="65" t="s">
        <v>31</v>
      </c>
      <c r="D57" s="120" t="s">
        <v>2711</v>
      </c>
      <c r="E57" s="144">
        <v>42401</v>
      </c>
      <c r="F57" s="144">
        <v>42674</v>
      </c>
      <c r="G57" s="159">
        <f t="shared" si="3"/>
        <v>9.1</v>
      </c>
      <c r="H57" s="64" t="s">
        <v>2678</v>
      </c>
      <c r="I57" s="63" t="s">
        <v>1155</v>
      </c>
      <c r="J57" s="63" t="s">
        <v>1035</v>
      </c>
      <c r="K57" s="66">
        <v>4570027992</v>
      </c>
      <c r="L57" s="65"/>
      <c r="M57" s="67">
        <v>1</v>
      </c>
      <c r="N57" s="65" t="s">
        <v>27</v>
      </c>
      <c r="O57" s="65" t="s">
        <v>1148</v>
      </c>
      <c r="P57" s="79"/>
    </row>
    <row r="58" spans="1:16" s="7" customFormat="1" ht="24.75" customHeight="1" outlineLevel="1" x14ac:dyDescent="0.25">
      <c r="A58" s="143">
        <v>11</v>
      </c>
      <c r="B58" s="64" t="s">
        <v>2676</v>
      </c>
      <c r="C58" s="65" t="s">
        <v>31</v>
      </c>
      <c r="D58" s="120" t="s">
        <v>2712</v>
      </c>
      <c r="E58" s="144">
        <v>42675</v>
      </c>
      <c r="F58" s="144">
        <v>43312</v>
      </c>
      <c r="G58" s="159">
        <f t="shared" si="3"/>
        <v>21.233333333333334</v>
      </c>
      <c r="H58" s="64" t="s">
        <v>2679</v>
      </c>
      <c r="I58" s="63" t="s">
        <v>1155</v>
      </c>
      <c r="J58" s="63" t="s">
        <v>1035</v>
      </c>
      <c r="K58" s="66">
        <v>10770955975</v>
      </c>
      <c r="L58" s="65"/>
      <c r="M58" s="67">
        <v>1</v>
      </c>
      <c r="N58" s="65" t="s">
        <v>27</v>
      </c>
      <c r="O58" s="65" t="s">
        <v>26</v>
      </c>
      <c r="P58" s="79"/>
    </row>
    <row r="59" spans="1:16" s="7" customFormat="1" ht="24.75" customHeight="1" outlineLevel="1" x14ac:dyDescent="0.25">
      <c r="A59" s="143">
        <v>12</v>
      </c>
      <c r="B59" s="64" t="s">
        <v>2676</v>
      </c>
      <c r="C59" s="65" t="s">
        <v>31</v>
      </c>
      <c r="D59" s="120" t="s">
        <v>2709</v>
      </c>
      <c r="E59" s="144">
        <v>43313</v>
      </c>
      <c r="F59" s="144">
        <v>43449</v>
      </c>
      <c r="G59" s="159">
        <f t="shared" si="3"/>
        <v>4.5333333333333332</v>
      </c>
      <c r="H59" s="64" t="s">
        <v>2680</v>
      </c>
      <c r="I59" s="63" t="s">
        <v>1155</v>
      </c>
      <c r="J59" s="63" t="s">
        <v>1035</v>
      </c>
      <c r="K59" s="66">
        <v>2629572395</v>
      </c>
      <c r="L59" s="65"/>
      <c r="M59" s="67">
        <v>1</v>
      </c>
      <c r="N59" s="65" t="s">
        <v>27</v>
      </c>
      <c r="O59" s="65" t="s">
        <v>26</v>
      </c>
      <c r="P59" s="79"/>
    </row>
    <row r="60" spans="1:16" s="7" customFormat="1" ht="24.75" customHeight="1" outlineLevel="1" x14ac:dyDescent="0.25">
      <c r="A60" s="143">
        <v>13</v>
      </c>
      <c r="B60" s="64" t="s">
        <v>2676</v>
      </c>
      <c r="C60" s="65" t="s">
        <v>31</v>
      </c>
      <c r="D60" s="120" t="s">
        <v>2710</v>
      </c>
      <c r="E60" s="144">
        <v>43483</v>
      </c>
      <c r="F60" s="144">
        <v>43738</v>
      </c>
      <c r="G60" s="159">
        <f t="shared" si="3"/>
        <v>8.5</v>
      </c>
      <c r="H60" s="64" t="s">
        <v>2681</v>
      </c>
      <c r="I60" s="63" t="s">
        <v>1155</v>
      </c>
      <c r="J60" s="63" t="s">
        <v>1035</v>
      </c>
      <c r="K60" s="66">
        <v>4048807706</v>
      </c>
      <c r="L60" s="65"/>
      <c r="M60" s="67">
        <v>1</v>
      </c>
      <c r="N60" s="65" t="s">
        <v>27</v>
      </c>
      <c r="O60" s="65" t="s">
        <v>1148</v>
      </c>
      <c r="P60" s="79"/>
    </row>
    <row r="61" spans="1:16" s="7" customFormat="1" ht="24.75" customHeight="1" outlineLevel="1" x14ac:dyDescent="0.25">
      <c r="A61" s="143">
        <v>14</v>
      </c>
      <c r="B61" s="64" t="s">
        <v>2676</v>
      </c>
      <c r="C61" s="65" t="s">
        <v>31</v>
      </c>
      <c r="D61" s="120">
        <v>76006072019</v>
      </c>
      <c r="E61" s="144">
        <v>43800</v>
      </c>
      <c r="F61" s="144">
        <v>43890</v>
      </c>
      <c r="G61" s="159">
        <f t="shared" si="3"/>
        <v>3</v>
      </c>
      <c r="H61" s="64" t="s">
        <v>2682</v>
      </c>
      <c r="I61" s="63" t="s">
        <v>1155</v>
      </c>
      <c r="J61" s="63" t="s">
        <v>1035</v>
      </c>
      <c r="K61" s="66">
        <v>1485390794</v>
      </c>
      <c r="L61" s="65"/>
      <c r="M61" s="67">
        <v>1</v>
      </c>
      <c r="N61" s="65" t="s">
        <v>27</v>
      </c>
      <c r="O61" s="65" t="s">
        <v>1148</v>
      </c>
      <c r="P61" s="79"/>
    </row>
    <row r="62" spans="1:16" s="7" customFormat="1" ht="24.75" customHeight="1" outlineLevel="1" x14ac:dyDescent="0.25">
      <c r="A62" s="143">
        <v>15</v>
      </c>
      <c r="B62" s="64" t="s">
        <v>2676</v>
      </c>
      <c r="C62" s="65" t="s">
        <v>31</v>
      </c>
      <c r="D62" s="120" t="s">
        <v>2707</v>
      </c>
      <c r="E62" s="144">
        <v>43882</v>
      </c>
      <c r="F62" s="144">
        <v>44196</v>
      </c>
      <c r="G62" s="159">
        <f t="shared" si="3"/>
        <v>10.466666666666667</v>
      </c>
      <c r="H62" s="121" t="s">
        <v>2715</v>
      </c>
      <c r="I62" s="63" t="s">
        <v>421</v>
      </c>
      <c r="J62" s="63" t="s">
        <v>436</v>
      </c>
      <c r="K62" s="122">
        <v>1257989706</v>
      </c>
      <c r="L62" s="65"/>
      <c r="M62" s="67">
        <v>1</v>
      </c>
      <c r="N62" s="65" t="s">
        <v>1151</v>
      </c>
      <c r="O62" s="65" t="s">
        <v>1148</v>
      </c>
      <c r="P62" s="79"/>
    </row>
    <row r="63" spans="1:16" s="7" customFormat="1" ht="24.75" customHeight="1" outlineLevel="1" x14ac:dyDescent="0.25">
      <c r="A63" s="143">
        <v>16</v>
      </c>
      <c r="B63" s="64" t="s">
        <v>2676</v>
      </c>
      <c r="C63" s="65" t="s">
        <v>31</v>
      </c>
      <c r="D63" s="120" t="s">
        <v>2707</v>
      </c>
      <c r="E63" s="144">
        <v>43882</v>
      </c>
      <c r="F63" s="144">
        <v>44196</v>
      </c>
      <c r="G63" s="159">
        <f t="shared" si="3"/>
        <v>10.466666666666667</v>
      </c>
      <c r="H63" s="64" t="s">
        <v>2715</v>
      </c>
      <c r="I63" s="63" t="s">
        <v>421</v>
      </c>
      <c r="J63" s="63" t="s">
        <v>447</v>
      </c>
      <c r="K63" s="66">
        <v>1257989706</v>
      </c>
      <c r="L63" s="65"/>
      <c r="M63" s="67">
        <v>1</v>
      </c>
      <c r="N63" s="65" t="s">
        <v>1151</v>
      </c>
      <c r="O63" s="65" t="s">
        <v>1148</v>
      </c>
      <c r="P63" s="79"/>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6"/>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6"/>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6"/>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6"/>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6"/>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6"/>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6"/>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6"/>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6"/>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6"/>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6"/>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6"/>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6"/>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6"/>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6"/>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t="s">
        <v>2683</v>
      </c>
      <c r="E114" s="144">
        <v>43881</v>
      </c>
      <c r="F114" s="144">
        <v>44196</v>
      </c>
      <c r="G114" s="159">
        <f>IF(AND(E114&lt;&gt;"",F114&lt;&gt;""),((F114-E114)/30),"")</f>
        <v>10.5</v>
      </c>
      <c r="H114" s="121" t="s">
        <v>2684</v>
      </c>
      <c r="I114" s="120" t="s">
        <v>1155</v>
      </c>
      <c r="J114" s="120" t="s">
        <v>1035</v>
      </c>
      <c r="K114" s="122">
        <v>1424628652</v>
      </c>
      <c r="L114" s="100">
        <f>+IF(AND(K114&gt;0,O114="Ejecución"),(K114/877802)*Tabla28[[#This Row],[% participación]],IF(AND(K114&gt;0,O114&lt;&gt;"Ejecución"),"-",""))</f>
        <v>1622.9498816361777</v>
      </c>
      <c r="M114" s="123"/>
      <c r="N114" s="172">
        <v>1</v>
      </c>
      <c r="O114" s="161" t="s">
        <v>1150</v>
      </c>
      <c r="P114" s="78"/>
    </row>
    <row r="115" spans="1:16" s="6" customFormat="1" ht="24.75" customHeight="1" x14ac:dyDescent="0.25">
      <c r="A115" s="142">
        <v>2</v>
      </c>
      <c r="B115" s="160" t="s">
        <v>2665</v>
      </c>
      <c r="C115" s="162" t="s">
        <v>31</v>
      </c>
      <c r="D115" s="63" t="s">
        <v>2685</v>
      </c>
      <c r="E115" s="144">
        <v>43881</v>
      </c>
      <c r="F115" s="144">
        <v>44196</v>
      </c>
      <c r="G115" s="159">
        <f t="shared" ref="G115:G116" si="4">IF(AND(E115&lt;&gt;"",F115&lt;&gt;""),((F115-E115)/30),"")</f>
        <v>10.5</v>
      </c>
      <c r="H115" s="64" t="s">
        <v>2686</v>
      </c>
      <c r="I115" s="120" t="s">
        <v>1155</v>
      </c>
      <c r="J115" s="120" t="s">
        <v>1035</v>
      </c>
      <c r="K115" s="68">
        <v>1544680061</v>
      </c>
      <c r="L115" s="100">
        <f>+IF(AND(K115&gt;0,O115="Ejecución"),(K115/877802)*Tabla28[[#This Row],[% participación]],IF(AND(K115&gt;0,O115&lt;&gt;"Ejecución"),"-",""))</f>
        <v>1759.7135356264853</v>
      </c>
      <c r="M115" s="65"/>
      <c r="N115" s="172">
        <v>1</v>
      </c>
      <c r="O115" s="161" t="s">
        <v>1150</v>
      </c>
      <c r="P115" s="78"/>
    </row>
    <row r="116" spans="1:16" s="6" customFormat="1" ht="24.75" customHeight="1" x14ac:dyDescent="0.25">
      <c r="A116" s="142">
        <v>3</v>
      </c>
      <c r="B116" s="160" t="s">
        <v>2665</v>
      </c>
      <c r="C116" s="162" t="s">
        <v>31</v>
      </c>
      <c r="D116" s="63" t="s">
        <v>2687</v>
      </c>
      <c r="E116" s="144">
        <v>43882</v>
      </c>
      <c r="F116" s="144">
        <v>44196</v>
      </c>
      <c r="G116" s="159">
        <f t="shared" si="4"/>
        <v>10.466666666666667</v>
      </c>
      <c r="H116" s="64" t="s">
        <v>2688</v>
      </c>
      <c r="I116" s="63" t="s">
        <v>1155</v>
      </c>
      <c r="J116" s="63" t="s">
        <v>1053</v>
      </c>
      <c r="K116" s="68">
        <v>336606625</v>
      </c>
      <c r="L116" s="100">
        <f>+IF(AND(K116&gt;0,O116="Ejecución"),(K116/877802)*Tabla28[[#This Row],[% participación]],IF(AND(K116&gt;0,O116&lt;&gt;"Ejecución"),"-",""))</f>
        <v>383.46532019749327</v>
      </c>
      <c r="M116" s="65"/>
      <c r="N116" s="172">
        <v>1</v>
      </c>
      <c r="O116" s="161" t="s">
        <v>1150</v>
      </c>
      <c r="P116" s="78"/>
    </row>
    <row r="117" spans="1:16" s="6" customFormat="1" ht="24.75" customHeight="1" outlineLevel="1" x14ac:dyDescent="0.25">
      <c r="A117" s="142">
        <v>4</v>
      </c>
      <c r="B117" s="160" t="s">
        <v>2665</v>
      </c>
      <c r="C117" s="162" t="s">
        <v>31</v>
      </c>
      <c r="D117" s="63" t="s">
        <v>2689</v>
      </c>
      <c r="E117" s="144">
        <v>44167</v>
      </c>
      <c r="F117" s="144">
        <v>44773</v>
      </c>
      <c r="G117" s="159">
        <f t="shared" ref="G117:G159" si="5">IF(AND(E117&lt;&gt;"",F117&lt;&gt;""),((F117-E117)/30),"")</f>
        <v>20.2</v>
      </c>
      <c r="H117" s="64" t="s">
        <v>2696</v>
      </c>
      <c r="I117" s="63" t="s">
        <v>1155</v>
      </c>
      <c r="J117" s="63" t="s">
        <v>1035</v>
      </c>
      <c r="K117" s="68">
        <v>2257578978</v>
      </c>
      <c r="L117" s="100">
        <f>+IF(AND(K117&gt;0,O117="Ejecución"),(K117/877802)*Tabla28[[#This Row],[% participación]],IF(AND(K117&gt;0,O117&lt;&gt;"Ejecución"),"-",""))</f>
        <v>2571.8544478139715</v>
      </c>
      <c r="M117" s="65"/>
      <c r="N117" s="172">
        <v>1</v>
      </c>
      <c r="O117" s="161" t="s">
        <v>1150</v>
      </c>
      <c r="P117" s="78"/>
    </row>
    <row r="118" spans="1:16" s="7" customFormat="1" ht="24.75" customHeight="1" outlineLevel="1" x14ac:dyDescent="0.25">
      <c r="A118" s="143">
        <v>5</v>
      </c>
      <c r="B118" s="160" t="s">
        <v>2665</v>
      </c>
      <c r="C118" s="162" t="s">
        <v>31</v>
      </c>
      <c r="D118" s="63" t="s">
        <v>2690</v>
      </c>
      <c r="E118" s="144">
        <v>44167</v>
      </c>
      <c r="F118" s="144">
        <v>44773</v>
      </c>
      <c r="G118" s="159">
        <f t="shared" si="5"/>
        <v>20.2</v>
      </c>
      <c r="H118" s="64" t="s">
        <v>2697</v>
      </c>
      <c r="I118" s="120" t="s">
        <v>1155</v>
      </c>
      <c r="J118" s="120" t="s">
        <v>1035</v>
      </c>
      <c r="K118" s="68">
        <v>14591935710</v>
      </c>
      <c r="L118" s="100">
        <f>+IF(AND(K118&gt;0,O118="Ejecución"),(K118/877802)*Tabla28[[#This Row],[% participación]],IF(AND(K118&gt;0,O118&lt;&gt;"Ejecución"),"-",""))</f>
        <v>16623.265508622673</v>
      </c>
      <c r="M118" s="65"/>
      <c r="N118" s="172">
        <v>1</v>
      </c>
      <c r="O118" s="161" t="s">
        <v>1150</v>
      </c>
      <c r="P118" s="79"/>
    </row>
    <row r="119" spans="1:16" s="7" customFormat="1" ht="24.75" customHeight="1" outlineLevel="1" x14ac:dyDescent="0.25">
      <c r="A119" s="143">
        <v>6</v>
      </c>
      <c r="B119" s="160" t="s">
        <v>2665</v>
      </c>
      <c r="C119" s="162" t="s">
        <v>31</v>
      </c>
      <c r="D119" s="63" t="s">
        <v>2691</v>
      </c>
      <c r="E119" s="144">
        <v>44168</v>
      </c>
      <c r="F119" s="144">
        <v>44773</v>
      </c>
      <c r="G119" s="159">
        <f t="shared" si="5"/>
        <v>20.166666666666668</v>
      </c>
      <c r="H119" s="64" t="s">
        <v>2698</v>
      </c>
      <c r="I119" s="63" t="s">
        <v>1155</v>
      </c>
      <c r="J119" s="63" t="s">
        <v>1035</v>
      </c>
      <c r="K119" s="68">
        <v>7537216637</v>
      </c>
      <c r="L119" s="100">
        <f>+IF(AND(K119&gt;0,O119="Ejecución"),(K119/877802)*Tabla28[[#This Row],[% participación]],IF(AND(K119&gt;0,O119&lt;&gt;"Ejecución"),"-",""))</f>
        <v>8586.4655548745613</v>
      </c>
      <c r="M119" s="65"/>
      <c r="N119" s="172">
        <v>1</v>
      </c>
      <c r="O119" s="161" t="s">
        <v>1150</v>
      </c>
      <c r="P119" s="79"/>
    </row>
    <row r="120" spans="1:16" s="7" customFormat="1" ht="24.75" customHeight="1" outlineLevel="1" x14ac:dyDescent="0.25">
      <c r="A120" s="143">
        <v>7</v>
      </c>
      <c r="B120" s="160" t="s">
        <v>2665</v>
      </c>
      <c r="C120" s="162" t="s">
        <v>31</v>
      </c>
      <c r="D120" s="63" t="s">
        <v>2692</v>
      </c>
      <c r="E120" s="144">
        <v>44167</v>
      </c>
      <c r="F120" s="144">
        <v>44773</v>
      </c>
      <c r="G120" s="159">
        <f t="shared" si="5"/>
        <v>20.2</v>
      </c>
      <c r="H120" s="64" t="s">
        <v>2699</v>
      </c>
      <c r="I120" s="63" t="s">
        <v>1155</v>
      </c>
      <c r="J120" s="63" t="s">
        <v>1035</v>
      </c>
      <c r="K120" s="68">
        <v>2200665222</v>
      </c>
      <c r="L120" s="100">
        <f>+IF(AND(K120&gt;0,O120="Ejecución"),(K120/877802)*Tabla28[[#This Row],[% participación]],IF(AND(K120&gt;0,O120&lt;&gt;"Ejecución"),"-",""))</f>
        <v>2507.0177807751634</v>
      </c>
      <c r="M120" s="65"/>
      <c r="N120" s="172">
        <v>1</v>
      </c>
      <c r="O120" s="161" t="s">
        <v>1150</v>
      </c>
      <c r="P120" s="79"/>
    </row>
    <row r="121" spans="1:16" s="7" customFormat="1" ht="24.75" customHeight="1" outlineLevel="1" x14ac:dyDescent="0.25">
      <c r="A121" s="143">
        <v>8</v>
      </c>
      <c r="B121" s="160" t="s">
        <v>2665</v>
      </c>
      <c r="C121" s="162" t="s">
        <v>31</v>
      </c>
      <c r="D121" s="63" t="s">
        <v>2693</v>
      </c>
      <c r="E121" s="144">
        <v>44167</v>
      </c>
      <c r="F121" s="144">
        <v>44773</v>
      </c>
      <c r="G121" s="159">
        <f t="shared" si="5"/>
        <v>20.2</v>
      </c>
      <c r="H121" s="102" t="s">
        <v>2698</v>
      </c>
      <c r="I121" s="63" t="s">
        <v>1155</v>
      </c>
      <c r="J121" s="63" t="s">
        <v>1035</v>
      </c>
      <c r="K121" s="68">
        <v>11981820805</v>
      </c>
      <c r="L121" s="100">
        <f>+IF(AND(K121&gt;0,O121="Ejecución"),(K121/877802)*Tabla28[[#This Row],[% participación]],IF(AND(K121&gt;0,O121&lt;&gt;"Ejecución"),"-",""))</f>
        <v>13649.798935295203</v>
      </c>
      <c r="M121" s="65"/>
      <c r="N121" s="172">
        <v>1</v>
      </c>
      <c r="O121" s="161" t="s">
        <v>1150</v>
      </c>
      <c r="P121" s="79"/>
    </row>
    <row r="122" spans="1:16" s="7" customFormat="1" ht="24.75" customHeight="1" outlineLevel="1" x14ac:dyDescent="0.25">
      <c r="A122" s="143">
        <v>9</v>
      </c>
      <c r="B122" s="160" t="s">
        <v>2665</v>
      </c>
      <c r="C122" s="162" t="s">
        <v>31</v>
      </c>
      <c r="D122" s="63" t="s">
        <v>2694</v>
      </c>
      <c r="E122" s="144">
        <v>43886</v>
      </c>
      <c r="F122" s="144">
        <v>44196</v>
      </c>
      <c r="G122" s="159">
        <f t="shared" si="5"/>
        <v>10.333333333333334</v>
      </c>
      <c r="H122" s="64" t="s">
        <v>2695</v>
      </c>
      <c r="I122" s="63" t="s">
        <v>1155</v>
      </c>
      <c r="J122" s="63" t="s">
        <v>1035</v>
      </c>
      <c r="K122" s="68">
        <v>6051961820</v>
      </c>
      <c r="L122" s="100">
        <f>+IF(AND(K122&gt;0,O122="Ejecución"),(K122/877802)*Tabla28[[#This Row],[% participación]],IF(AND(K122&gt;0,O122&lt;&gt;"Ejecución"),"-",""))</f>
        <v>6894.4497961954976</v>
      </c>
      <c r="M122" s="65"/>
      <c r="N122" s="172">
        <v>1</v>
      </c>
      <c r="O122" s="161" t="s">
        <v>1150</v>
      </c>
      <c r="P122" s="79"/>
    </row>
    <row r="123" spans="1:16" s="7" customFormat="1" ht="24.75" customHeight="1" outlineLevel="1" x14ac:dyDescent="0.25">
      <c r="A123" s="143">
        <v>10</v>
      </c>
      <c r="B123" s="160" t="s">
        <v>2665</v>
      </c>
      <c r="C123" s="162" t="s">
        <v>31</v>
      </c>
      <c r="D123" s="63" t="s">
        <v>2707</v>
      </c>
      <c r="E123" s="144">
        <v>43882</v>
      </c>
      <c r="F123" s="144">
        <v>44196</v>
      </c>
      <c r="G123" s="159">
        <f t="shared" si="5"/>
        <v>10.466666666666667</v>
      </c>
      <c r="H123" s="118" t="s">
        <v>2708</v>
      </c>
      <c r="I123" s="63" t="s">
        <v>421</v>
      </c>
      <c r="J123" s="63" t="s">
        <v>447</v>
      </c>
      <c r="K123" s="68">
        <v>1114488255</v>
      </c>
      <c r="L123" s="100">
        <f>+IF(AND(K123&gt;0,O123="Ejecución"),(K123/877802)*Tabla28[[#This Row],[% participación]],IF(AND(K123&gt;0,O123&lt;&gt;"Ejecución"),"-",""))</f>
        <v>1269.6351284230384</v>
      </c>
      <c r="M123" s="65"/>
      <c r="N123" s="172">
        <v>1</v>
      </c>
      <c r="O123" s="161" t="s">
        <v>1150</v>
      </c>
      <c r="P123" s="79"/>
    </row>
    <row r="124" spans="1:16" s="7" customFormat="1" ht="24.75" customHeight="1" outlineLevel="1" x14ac:dyDescent="0.25">
      <c r="A124" s="143">
        <v>11</v>
      </c>
      <c r="B124" s="160" t="s">
        <v>2665</v>
      </c>
      <c r="C124" s="162" t="s">
        <v>31</v>
      </c>
      <c r="D124" s="120" t="s">
        <v>2707</v>
      </c>
      <c r="E124" s="144">
        <v>43882</v>
      </c>
      <c r="F124" s="144">
        <v>44196</v>
      </c>
      <c r="G124" s="159">
        <f t="shared" si="5"/>
        <v>10.466666666666667</v>
      </c>
      <c r="H124" s="118" t="s">
        <v>2708</v>
      </c>
      <c r="I124" s="120" t="s">
        <v>421</v>
      </c>
      <c r="J124" s="120" t="s">
        <v>436</v>
      </c>
      <c r="K124" s="68">
        <v>1114488255</v>
      </c>
      <c r="L124" s="100">
        <f>+IF(AND(K124&gt;0,O124="Ejecución"),(K124/877802)*Tabla28[[#This Row],[% participación]],IF(AND(K124&gt;0,O124&lt;&gt;"Ejecución"),"-",""))</f>
        <v>1269.6351284230384</v>
      </c>
      <c r="M124" s="65"/>
      <c r="N124" s="172">
        <v>1</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ref="N125:N160" si="6">+IF(M125="No",1,IF(M125="Si","Ingrese %",""))</f>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2658</v>
      </c>
      <c r="C168" s="233"/>
      <c r="D168" s="233"/>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6"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3"/>
      <c r="Z178" s="164" t="str">
        <f>IF(Y178&gt;0,SUM(E180+Y178),"")</f>
        <v/>
      </c>
      <c r="AA178" s="19"/>
      <c r="AB178" s="19"/>
    </row>
    <row r="179" spans="1:28" ht="23.25" x14ac:dyDescent="0.25">
      <c r="A179" s="9"/>
      <c r="B179" s="190" t="s">
        <v>2669</v>
      </c>
      <c r="C179" s="190"/>
      <c r="D179" s="190"/>
      <c r="E179" s="170">
        <v>0.02</v>
      </c>
      <c r="F179" s="169">
        <v>0.02</v>
      </c>
      <c r="G179" s="164">
        <f>IF(F179&gt;0,SUM(E179+F179),"")</f>
        <v>0.04</v>
      </c>
      <c r="H179" s="5"/>
      <c r="I179" s="190" t="s">
        <v>2671</v>
      </c>
      <c r="J179" s="190"/>
      <c r="K179" s="190"/>
      <c r="L179" s="190"/>
      <c r="M179" s="171">
        <v>0.02</v>
      </c>
      <c r="O179" s="8"/>
      <c r="Q179" s="19"/>
      <c r="R179" s="158">
        <f>IF(M179&gt;0,SUM(L179+M179),"")</f>
        <v>0.02</v>
      </c>
      <c r="T179" s="19"/>
      <c r="U179" s="236" t="s">
        <v>1166</v>
      </c>
      <c r="V179" s="236"/>
      <c r="W179" s="236"/>
      <c r="X179" s="24">
        <v>0.02</v>
      </c>
      <c r="Y179" s="163"/>
      <c r="Z179" s="164" t="str">
        <f>IF(Y179&gt;0,SUM(E181+Y179),"")</f>
        <v/>
      </c>
      <c r="AA179" s="19"/>
      <c r="AB179" s="19"/>
    </row>
    <row r="180" spans="1:28" ht="23.25" hidden="1" x14ac:dyDescent="0.25">
      <c r="A180" s="9"/>
      <c r="B180" s="176"/>
      <c r="C180" s="176"/>
      <c r="D180" s="176"/>
      <c r="E180" s="168"/>
      <c r="H180" s="5"/>
      <c r="I180" s="176"/>
      <c r="J180" s="176"/>
      <c r="K180" s="176"/>
      <c r="L180" s="176"/>
      <c r="M180" s="5"/>
      <c r="O180" s="8"/>
      <c r="Q180" s="19"/>
      <c r="R180" s="158" t="str">
        <f>IF(S180&gt;0,SUM(L180+S180),"")</f>
        <v/>
      </c>
      <c r="S180" s="163"/>
      <c r="T180" s="19"/>
      <c r="U180" s="236" t="s">
        <v>1167</v>
      </c>
      <c r="V180" s="236"/>
      <c r="W180" s="236"/>
      <c r="X180" s="24">
        <v>0.03</v>
      </c>
      <c r="Y180" s="163"/>
      <c r="Z180" s="164" t="str">
        <f>IF(Y180&gt;0,SUM(E182+Y180),"")</f>
        <v/>
      </c>
      <c r="AA180" s="19"/>
      <c r="AB180" s="19"/>
    </row>
    <row r="181" spans="1:28" ht="23.25" hidden="1" x14ac:dyDescent="0.25">
      <c r="A181" s="9"/>
      <c r="B181" s="176"/>
      <c r="C181" s="176"/>
      <c r="D181" s="176"/>
      <c r="E181" s="168"/>
      <c r="H181" s="5"/>
      <c r="I181" s="176"/>
      <c r="J181" s="176"/>
      <c r="K181" s="176"/>
      <c r="L181" s="176"/>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6"/>
      <c r="C182" s="176"/>
      <c r="D182" s="176"/>
      <c r="E182" s="168"/>
      <c r="H182" s="5"/>
      <c r="I182" s="176"/>
      <c r="J182" s="176"/>
      <c r="K182" s="176"/>
      <c r="L182" s="176"/>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0.04</v>
      </c>
      <c r="D185" s="91" t="s">
        <v>2628</v>
      </c>
      <c r="E185" s="94">
        <f>+(C185*SUM(K20:K35))</f>
        <v>74983666.960000008</v>
      </c>
      <c r="F185" s="92"/>
      <c r="G185" s="93"/>
      <c r="H185" s="88"/>
      <c r="I185" s="90" t="s">
        <v>2627</v>
      </c>
      <c r="J185" s="165">
        <f>+SUM(M179:M183)</f>
        <v>0.02</v>
      </c>
      <c r="K185" s="235" t="s">
        <v>2628</v>
      </c>
      <c r="L185" s="235"/>
      <c r="M185" s="94">
        <f>+J185*(SUM(K20:K35))</f>
        <v>37491833.480000004</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4" t="s">
        <v>2636</v>
      </c>
      <c r="C192" s="194"/>
      <c r="E192" s="5" t="s">
        <v>20</v>
      </c>
      <c r="H192" s="26" t="s">
        <v>24</v>
      </c>
      <c r="J192" s="5" t="s">
        <v>2637</v>
      </c>
      <c r="K192" s="5"/>
      <c r="M192" s="5"/>
      <c r="N192" s="5"/>
      <c r="O192" s="8"/>
      <c r="Q192" s="153"/>
      <c r="R192" s="154"/>
      <c r="S192" s="154"/>
      <c r="T192" s="153"/>
    </row>
    <row r="193" spans="1:18" x14ac:dyDescent="0.25">
      <c r="A193" s="9"/>
      <c r="C193" s="124">
        <v>41962</v>
      </c>
      <c r="D193" s="5"/>
      <c r="E193" s="125">
        <v>3573</v>
      </c>
      <c r="F193" s="5"/>
      <c r="G193" s="5"/>
      <c r="H193" s="146" t="s">
        <v>2700</v>
      </c>
      <c r="J193" s="5"/>
      <c r="K193" s="126">
        <v>39371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2701</v>
      </c>
      <c r="J211" s="27" t="s">
        <v>2622</v>
      </c>
      <c r="K211" s="147" t="s">
        <v>2704</v>
      </c>
      <c r="L211" s="21"/>
      <c r="M211" s="21"/>
      <c r="N211" s="21"/>
      <c r="O211" s="8"/>
    </row>
    <row r="212" spans="1:15" x14ac:dyDescent="0.25">
      <c r="A212" s="9"/>
      <c r="B212" s="27" t="s">
        <v>2619</v>
      </c>
      <c r="C212" s="146" t="s">
        <v>2700</v>
      </c>
      <c r="D212" s="21"/>
      <c r="G212" s="27" t="s">
        <v>2621</v>
      </c>
      <c r="H212" s="147" t="s">
        <v>2702</v>
      </c>
      <c r="J212" s="27" t="s">
        <v>2623</v>
      </c>
      <c r="K212" s="146" t="s">
        <v>2703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ageMargins left="3.937007874015748E-2" right="3.937007874015748E-2" top="0.35433070866141736" bottom="0.35433070866141736" header="0.31496062992125984" footer="0.31496062992125984"/>
  <pageSetup scale="29" orientation="landscape" horizontalDpi="4294967293" r:id="rId1"/>
  <rowBreaks count="2" manualBreakCount="2">
    <brk id="80" max="14" man="1"/>
    <brk id="155" max="14" man="1"/>
  </rowBreaks>
  <colBreaks count="1" manualBreakCount="1">
    <brk id="15" max="1048575" man="1"/>
  </colBreaks>
  <ignoredErrors>
    <ignoredError sqref="B106:B107 D125:D160 M122:M160 G114:G121 L106:L107 G125:J160 L83:L90 G48:G90 B83:B90 G122 G123 G124"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MARCO</cp:lastModifiedBy>
  <cp:lastPrinted>2020-12-28T15:18:14Z</cp:lastPrinted>
  <dcterms:created xsi:type="dcterms:W3CDTF">2020-10-14T21:57:42Z</dcterms:created>
  <dcterms:modified xsi:type="dcterms:W3CDTF">2020-12-29T00:04:09Z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