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CAQUETA\CESAR\"/>
    </mc:Choice>
  </mc:AlternateContent>
  <xr:revisionPtr revIDLastSave="0" documentId="13_ncr:1_{F2520AC7-3793-401A-91C8-4BB3F3C563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<sst xmlns="http://schemas.openxmlformats.org/spreadsheetml/2006/main" count="3407" uniqueCount="2771">
  <si>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</si>
  <si>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</si>
  <si>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</si>
  <si>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</si>
  <si>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</si>
  <si>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</si>
  <si>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</si>
  <si>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</si>
  <si>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</si>
  <si>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</si>
  <si>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</si>
  <si>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</si>
  <si>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</si>
  <si>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</si>
  <si>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</si>
  <si>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</si>
  <si>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</si>
  <si>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</si>
  <si>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</si>
  <si>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</si>
  <si>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</si>
  <si>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</si>
  <si>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</si>
  <si>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</si>
  <si>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</si>
  <si>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</si>
  <si>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</si>
  <si>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</si>
  <si>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</si>
  <si>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</si>
  <si>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</si>
  <si>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</si>
  <si>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</si>
  <si>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</si>
  <si>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</si>
  <si>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</si>
  <si>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</si>
  <si>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</si>
  <si>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</si>
  <si>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</si>
  <si>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</si>
  <si>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</si>
  <si>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</si>
  <si>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</si>
  <si>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</si>
  <si>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</si>
  <si>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</si>
  <si>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</si>
  <si>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</si>
  <si>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</si>
  <si>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</si>
  <si>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</si>
  <si>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</si>
  <si>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</si>
  <si>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</si>
  <si>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</si>
  <si>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</si>
  <si>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</si>
  <si>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</si>
  <si>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</si>
  <si>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</si>
  <si>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</si>
  <si>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</si>
  <si>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</si>
  <si>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</si>
  <si>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</si>
  <si>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</si>
  <si>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</si>
  <si>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</si>
  <si>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</si>
  <si>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</si>
  <si>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</si>
  <si>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</si>
  <si>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</si>
  <si>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</si>
  <si>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</si>
  <si>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</si>
  <si>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</si>
  <si>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</si>
  <si>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</si>
  <si>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</si>
  <si>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</si>
  <si>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</si>
  <si>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</si>
  <si>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</si>
  <si>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</si>
  <si>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</si>
  <si>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</si>
  <si>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</si>
  <si>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</si>
  <si>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</si>
  <si>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</si>
  <si>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</si>
  <si>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</si>
  <si>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</si>
  <si>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</si>
  <si>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</si>
  <si>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</si>
  <si>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</si>
  <si>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</si>
  <si>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</si>
  <si>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</si>
  <si>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</si>
  <si>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</si>
  <si>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</si>
  <si>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</si>
  <si>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</si>
  <si>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</si>
  <si>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</si>
  <si>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</si>
  <si>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</si>
  <si>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</si>
  <si>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</si>
  <si>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</si>
  <si>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</si>
  <si>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</si>
  <si>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</si>
  <si>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</si>
  <si>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</si>
  <si>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</si>
  <si>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</si>
  <si>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</si>
  <si>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</si>
  <si>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</si>
  <si>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</si>
  <si>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</si>
  <si>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</si>
  <si>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</si>
  <si>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</si>
  <si>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</si>
  <si>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</si>
  <si>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</si>
  <si>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</si>
  <si>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</si>
  <si>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</si>
  <si>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</si>
  <si>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</si>
  <si>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</si>
  <si>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</si>
  <si>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</si>
  <si>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</si>
  <si>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</si>
  <si>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</si>
  <si>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</si>
  <si>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</si>
  <si>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</si>
  <si>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</si>
  <si>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</si>
  <si>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</si>
  <si>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</si>
  <si>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</si>
  <si>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</si>
  <si>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</si>
  <si>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</si>
  <si>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</si>
  <si>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</si>
  <si>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</si>
  <si>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</si>
  <si>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</si>
  <si>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</si>
  <si>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</si>
  <si>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</si>
  <si>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</si>
  <si>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</si>
  <si>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</si>
  <si>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</si>
  <si>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</si>
  <si>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</si>
  <si>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</si>
  <si>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</si>
  <si>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</si>
  <si>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</si>
  <si>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</si>
  <si>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</si>
  <si>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</si>
  <si>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</si>
  <si>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</si>
  <si>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</si>
  <si>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</si>
  <si>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</si>
  <si>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</si>
  <si>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</si>
  <si>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</si>
  <si>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</si>
  <si>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</si>
  <si>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</si>
  <si>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</si>
  <si>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</si>
  <si>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</si>
  <si>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</si>
  <si>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</si>
  <si>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</si>
  <si>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</si>
  <si>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</si>
  <si>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</si>
  <si>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</si>
  <si>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</si>
  <si>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</si>
  <si>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</si>
  <si>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</si>
  <si>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</si>
  <si>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</si>
  <si>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</si>
  <si>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</si>
  <si>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</si>
  <si>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</si>
  <si>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</si>
  <si>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</si>
  <si>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</si>
  <si>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</si>
  <si>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</si>
  <si>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</si>
  <si>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</si>
  <si>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</si>
  <si>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</si>
  <si>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</si>
  <si>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</si>
  <si>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</si>
  <si>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</si>
  <si>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</si>
  <si>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</si>
  <si>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</si>
  <si>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</si>
  <si>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</si>
  <si>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</si>
  <si>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</si>
  <si>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</si>
  <si>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</si>
  <si>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</si>
  <si>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</si>
  <si>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</si>
  <si>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</si>
  <si>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</si>
  <si>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</si>
  <si>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</si>
  <si>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</si>
  <si>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</si>
  <si>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</si>
  <si>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</si>
  <si>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</si>
  <si>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</si>
  <si>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</si>
  <si>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</si>
  <si>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</si>
  <si>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</si>
  <si>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</si>
  <si>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</si>
  <si>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</si>
  <si>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</si>
  <si>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</si>
  <si>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</si>
  <si>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</si>
  <si>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</si>
  <si>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</si>
  <si>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</si>
  <si>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</si>
  <si>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</si>
  <si>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</si>
  <si>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</si>
  <si>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</si>
  <si>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</si>
  <si>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</si>
  <si>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</si>
  <si>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</si>
  <si>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</si>
  <si>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</si>
  <si>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</si>
  <si>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</si>
  <si>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</si>
  <si>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</si>
  <si>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</si>
  <si>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</si>
  <si>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</si>
  <si>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</si>
  <si>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</si>
  <si>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</si>
  <si>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</si>
  <si>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</si>
  <si>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</si>
  <si>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</si>
  <si>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</si>
  <si>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</si>
  <si>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</si>
  <si>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</si>
  <si>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</si>
  <si>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</si>
  <si>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</si>
  <si>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</si>
  <si>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</si>
  <si>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</si>
  <si>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</si>
  <si>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</si>
  <si>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</si>
  <si>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</si>
  <si>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</si>
  <si>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</si>
  <si>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</si>
  <si>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</si>
  <si>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</si>
  <si>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</si>
  <si>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</si>
  <si>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</si>
  <si>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</si>
  <si>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</si>
  <si>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</si>
  <si>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</si>
  <si>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</si>
  <si>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</si>
  <si>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</si>
  <si>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</si>
  <si>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</si>
  <si>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</si>
  <si>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</si>
  <si>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</si>
  <si>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</si>
  <si>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</si>
  <si>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</si>
  <si>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</si>
  <si>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</si>
  <si>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</si>
  <si>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</si>
  <si>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</si>
  <si>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</si>
  <si>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</si>
  <si>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</si>
  <si>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</si>
  <si>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</si>
  <si>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</si>
  <si>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</si>
  <si>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</si>
  <si>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</si>
  <si>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</si>
  <si>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</si>
  <si>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</si>
  <si>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</si>
  <si>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</si>
  <si>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</si>
  <si>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</si>
  <si>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</si>
  <si>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</si>
  <si>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</si>
  <si>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</si>
  <si>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</si>
  <si>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</si>
  <si>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</si>
  <si>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</si>
  <si>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</si>
  <si>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</si>
  <si>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</si>
  <si>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</si>
  <si>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</si>
  <si>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</si>
  <si>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</si>
  <si>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</si>
  <si>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</si>
  <si>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</si>
  <si>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</si>
  <si>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</si>
  <si>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</si>
  <si>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</si>
  <si>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</si>
  <si>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</si>
  <si>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</si>
  <si>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</si>
  <si>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</si>
  <si>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</si>
  <si>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</si>
  <si>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</si>
  <si>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</si>
  <si>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</si>
  <si>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</si>
  <si>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</si>
  <si>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</si>
  <si>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</si>
  <si>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</si>
  <si>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</si>
  <si>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</si>
  <si>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</si>
  <si>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</si>
  <si>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</si>
  <si>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</si>
  <si>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</si>
  <si>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</si>
  <si>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</si>
  <si>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</si>
  <si>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</si>
  <si>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</si>
  <si>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</si>
  <si>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</si>
  <si>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</si>
  <si>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</si>
  <si>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</si>
  <si>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</si>
  <si>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</si>
  <si>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</si>
  <si>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</si>
  <si>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</si>
  <si>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</si>
  <si>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</si>
  <si>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</si>
  <si>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</si>
  <si>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</si>
  <si>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</si>
  <si>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</si>
  <si>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</si>
  <si>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</si>
  <si>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</si>
  <si>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</si>
  <si>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</si>
  <si>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</si>
  <si>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</si>
  <si>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</si>
  <si>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</si>
  <si>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</si>
  <si>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</si>
  <si>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</si>
  <si>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</si>
  <si>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</si>
  <si>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</si>
  <si>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</si>
  <si>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</si>
  <si>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</si>
  <si>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</si>
  <si>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</si>
  <si>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</si>
  <si>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</si>
  <si>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</si>
  <si>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</si>
  <si>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</si>
  <si>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</si>
  <si>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</si>
  <si>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</si>
  <si>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</si>
  <si>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</si>
  <si>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</si>
  <si>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</si>
  <si>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</si>
  <si>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</si>
  <si>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</si>
  <si>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</si>
  <si>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</si>
  <si>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</si>
  <si>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</si>
  <si>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</si>
  <si>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</si>
  <si>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</si>
  <si>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</si>
  <si>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</si>
  <si>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</si>
  <si>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</si>
  <si>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</si>
  <si>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</si>
  <si>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</si>
  <si>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</si>
  <si>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</si>
  <si>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</si>
  <si>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</si>
  <si>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</si>
  <si>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</si>
  <si>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</si>
  <si>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</si>
  <si>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</si>
  <si>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</si>
  <si>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</si>
  <si>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</si>
  <si>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</si>
  <si>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</si>
  <si>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</si>
  <si>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</si>
  <si>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</si>
  <si>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</si>
  <si>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</si>
  <si>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</si>
  <si>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</si>
  <si>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</si>
  <si>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</si>
  <si>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</si>
  <si>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</si>
  <si>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</si>
  <si>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</si>
  <si>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</si>
  <si>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</si>
  <si>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</si>
  <si>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</si>
  <si>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</si>
  <si>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</si>
  <si>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</si>
  <si>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</si>
  <si>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</si>
  <si>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</si>
  <si>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</si>
  <si>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</si>
  <si>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</si>
  <si>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</si>
  <si>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</si>
  <si>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</si>
  <si>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</si>
  <si>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</si>
  <si>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</si>
  <si>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</si>
  <si>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</si>
  <si>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</si>
  <si>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</si>
  <si>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</si>
  <si>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</si>
  <si>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</si>
  <si>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</si>
  <si>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</si>
  <si>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</si>
  <si>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</si>
  <si>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</si>
  <si>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</si>
  <si>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</si>
  <si>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</si>
  <si>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</si>
  <si>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</si>
  <si>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</si>
  <si>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</si>
  <si>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</si>
  <si>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</si>
  <si>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</si>
  <si>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</si>
  <si>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</si>
  <si>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</si>
  <si>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</si>
  <si>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</si>
  <si>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</si>
  <si>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</si>
  <si>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</si>
  <si>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</si>
  <si>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</si>
  <si>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</si>
  <si>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</si>
  <si>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</si>
  <si>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</si>
  <si>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</si>
  <si>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</si>
  <si>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</si>
  <si>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</si>
  <si>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</si>
  <si>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</si>
  <si>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</si>
  <si>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</si>
  <si>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</si>
  <si>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</si>
  <si>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</si>
  <si>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</si>
  <si>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</si>
  <si>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</si>
  <si>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</si>
  <si>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</si>
  <si>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</si>
  <si>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</si>
  <si>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</si>
  <si>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</si>
  <si>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</si>
  <si>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</si>
  <si>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</si>
  <si>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</si>
  <si>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</si>
  <si>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</si>
  <si>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</si>
  <si>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</si>
  <si>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</si>
  <si>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</si>
  <si>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</si>
  <si>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</si>
  <si>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</si>
  <si>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</si>
  <si>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</si>
  <si>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</si>
  <si>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</si>
  <si>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</si>
  <si>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</si>
  <si>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</si>
  <si>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</si>
  <si>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</si>
  <si>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</si>
  <si>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</si>
  <si>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</si>
  <si>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</si>
  <si>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</si>
  <si>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</si>
  <si>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</si>
  <si>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</si>
  <si>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</si>
  <si>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</si>
  <si>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</si>
  <si>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</si>
  <si>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</si>
  <si>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</si>
  <si>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</si>
  <si>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</si>
  <si>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</si>
  <si>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</si>
  <si>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</si>
  <si>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</si>
  <si>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</si>
  <si>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</si>
  <si>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</si>
  <si>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</si>
  <si>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</si>
  <si>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</si>
  <si>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</si>
  <si>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</si>
  <si>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</si>
  <si>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</si>
  <si>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</si>
  <si>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</si>
  <si>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</si>
  <si>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</si>
  <si>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</si>
  <si>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</si>
  <si>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</si>
  <si>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</si>
  <si>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</si>
  <si>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</si>
  <si>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</si>
  <si>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</si>
  <si>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</si>
  <si>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</si>
  <si>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</si>
  <si>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</si>
  <si>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</si>
  <si>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</si>
  <si>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</si>
  <si>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</si>
  <si>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</si>
  <si>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</si>
  <si>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</si>
  <si>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</si>
  <si>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</si>
  <si>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</si>
  <si>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</si>
  <si>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</si>
  <si>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</si>
  <si>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</si>
  <si>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</si>
  <si>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</si>
  <si>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</si>
  <si>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</si>
  <si>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</si>
  <si>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</si>
  <si>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</si>
  <si>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</si>
  <si>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</si>
  <si>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</si>
  <si>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</si>
  <si>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</si>
  <si>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</si>
  <si>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</si>
  <si>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</si>
  <si>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</si>
  <si>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</si>
  <si>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</si>
  <si>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</si>
  <si>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</si>
  <si>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</si>
  <si>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</si>
  <si>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</si>
  <si>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</si>
  <si>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</si>
  <si>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</si>
  <si>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</si>
  <si>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</si>
  <si>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</si>
  <si>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</si>
  <si>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</si>
  <si>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</si>
  <si>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</si>
  <si>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</si>
  <si>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</si>
  <si>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</si>
  <si>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</si>
  <si>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</si>
  <si>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</si>
  <si>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</si>
  <si>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</si>
  <si>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</si>
  <si>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</si>
  <si>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</si>
  <si>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</si>
  <si>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</si>
  <si>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</si>
  <si>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</si>
  <si>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</si>
  <si>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</si>
  <si>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</si>
  <si>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</si>
  <si>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</si>
  <si>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</si>
  <si>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</si>
  <si>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</si>
  <si>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</si>
  <si>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</si>
  <si>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</si>
  <si>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</si>
  <si>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</si>
  <si>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</si>
  <si>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</si>
  <si>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</si>
  <si>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</si>
  <si>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</si>
  <si>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</si>
  <si>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</si>
  <si>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</si>
  <si>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</si>
  <si>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</si>
  <si>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</si>
  <si>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</si>
  <si>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</si>
  <si>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</si>
  <si>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</si>
  <si>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</si>
  <si>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</si>
  <si>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</si>
  <si>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</si>
  <si>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</si>
  <si>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</si>
  <si>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</si>
  <si>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</si>
  <si>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</si>
  <si>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</si>
  <si>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</si>
  <si>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</si>
  <si>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</si>
  <si>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</si>
  <si>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</si>
  <si>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</si>
  <si>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</si>
  <si>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</si>
  <si>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</si>
  <si>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</si>
  <si>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</si>
  <si>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</si>
  <si>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</si>
  <si>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</si>
  <si>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</si>
  <si>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</si>
  <si>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</si>
  <si>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</si>
  <si>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</si>
  <si>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</si>
  <si>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</si>
  <si>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</si>
  <si>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</si>
  <si>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</si>
  <si>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</si>
  <si>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</si>
  <si>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</si>
  <si>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</si>
  <si>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</si>
  <si>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</si>
  <si>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</si>
  <si>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</si>
  <si>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</si>
  <si>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</si>
  <si>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</si>
  <si>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</si>
  <si>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</si>
  <si>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</si>
  <si>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</si>
  <si>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</si>
  <si>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</si>
  <si>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</si>
  <si>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</si>
  <si>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</si>
  <si>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</si>
  <si>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</si>
  <si>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</si>
  <si>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</si>
  <si>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</si>
  <si>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</si>
  <si>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</si>
  <si>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</si>
  <si>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</si>
  <si>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</si>
  <si>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</si>
  <si>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</si>
  <si>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</si>
  <si>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</si>
  <si>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</si>
  <si>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</si>
  <si>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</si>
  <si>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</si>
  <si>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</si>
  <si>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</si>
  <si>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</si>
  <si>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</si>
  <si>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</si>
  <si>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</si>
  <si>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</si>
  <si>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</si>
  <si>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</si>
  <si>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</si>
  <si>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</si>
  <si>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</si>
  <si>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</si>
  <si>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</si>
  <si>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</si>
  <si>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</si>
  <si>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</si>
  <si>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</si>
  <si>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</si>
  <si>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</si>
  <si>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</si>
  <si>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</si>
  <si>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</si>
  <si>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</si>
  <si>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</si>
  <si>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</si>
  <si>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</si>
  <si>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</si>
  <si>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</si>
  <si>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</si>
  <si>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</si>
  <si>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</si>
  <si>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</si>
  <si>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</si>
  <si>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</si>
  <si>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</si>
  <si>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</si>
  <si>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</si>
  <si>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</si>
  <si>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</si>
  <si>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</si>
  <si>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</si>
  <si>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</si>
  <si>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</si>
  <si>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</si>
  <si>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</si>
  <si>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</si>
  <si>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</si>
  <si>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</si>
  <si>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</si>
  <si>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</si>
  <si>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</si>
  <si>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</si>
  <si>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</si>
  <si>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</si>
  <si>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</si>
  <si>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</si>
  <si>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</si>
  <si>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</si>
  <si>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</si>
  <si>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</si>
  <si>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</si>
  <si>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</si>
  <si>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</si>
  <si>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</si>
  <si>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</si>
  <si>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</si>
  <si>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</si>
  <si>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</si>
  <si>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</si>
  <si>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</si>
  <si>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</si>
  <si>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</si>
  <si>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</si>
  <si>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</si>
  <si>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</si>
  <si>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</si>
  <si>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</si>
  <si>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</si>
  <si>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</si>
  <si>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</si>
  <si>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</si>
  <si>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</si>
  <si>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</si>
  <si>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</si>
  <si>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</si>
  <si>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</si>
  <si>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</si>
  <si>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</si>
  <si>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</si>
  <si>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</si>
  <si>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</si>
  <si>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</si>
  <si>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</si>
  <si>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</si>
  <si>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</si>
  <si>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</si>
  <si>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</si>
  <si>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</si>
  <si>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</si>
  <si>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</si>
  <si>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</si>
  <si>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</si>
  <si>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</si>
  <si>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</si>
  <si>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</si>
  <si>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</si>
  <si>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</si>
  <si>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</si>
  <si>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</si>
  <si>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</si>
  <si>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</si>
  <si>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</si>
  <si>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</si>
  <si>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</si>
  <si>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</si>
  <si>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</si>
  <si>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</si>
  <si>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</si>
  <si>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</si>
  <si>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</si>
  <si>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</si>
  <si>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</si>
  <si>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</si>
  <si>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</si>
  <si>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</si>
  <si>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</si>
  <si>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</si>
  <si>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</si>
  <si>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</si>
  <si>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</si>
  <si>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</si>
  <si>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</si>
  <si>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</si>
  <si>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</si>
  <si>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</si>
  <si>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</si>
  <si>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</si>
  <si>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</si>
  <si>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</si>
  <si>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</si>
  <si>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</si>
  <si>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</si>
  <si>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</si>
  <si>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</si>
  <si>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</si>
  <si>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</si>
  <si>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</si>
  <si>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</si>
  <si>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</si>
  <si>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</si>
  <si>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</si>
  <si>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</si>
  <si>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</si>
  <si>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</si>
  <si>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</si>
  <si>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</si>
  <si>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</si>
  <si>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</si>
  <si>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</si>
  <si>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</si>
  <si>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</si>
  <si>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</si>
  <si>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</si>
  <si>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</si>
  <si>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</si>
  <si>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</si>
  <si>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</si>
  <si>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</si>
  <si>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</si>
  <si>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</si>
  <si>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</si>
  <si>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</si>
  <si>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</si>
  <si>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</si>
  <si>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</si>
  <si>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</si>
  <si>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</si>
  <si>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</si>
  <si>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</si>
  <si>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</si>
  <si>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</si>
  <si>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</si>
  <si>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</si>
  <si>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</si>
  <si>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</si>
  <si>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</si>
  <si>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</si>
  <si>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</si>
  <si>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</si>
  <si>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</si>
  <si>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</si>
  <si>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</si>
  <si>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</si>
  <si>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</si>
  <si>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</si>
  <si>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</si>
  <si>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</si>
  <si>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</si>
  <si>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</si>
  <si>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</si>
  <si>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</si>
  <si>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</si>
  <si>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</si>
  <si>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</si>
  <si>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</si>
  <si>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</si>
  <si>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</si>
  <si>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</si>
  <si>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</si>
  <si>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</si>
  <si>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</si>
  <si>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</si>
  <si>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</si>
  <si>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</si>
  <si>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</si>
  <si>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</si>
  <si>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</si>
  <si>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</si>
  <si>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</si>
  <si>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</si>
  <si>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</si>
  <si>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</si>
  <si>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</si>
  <si>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</si>
  <si>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</si>
  <si>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</si>
  <si>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</si>
  <si>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</si>
  <si>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</si>
  <si>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</si>
  <si>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</si>
  <si>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</si>
  <si>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</si>
  <si>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</si>
  <si>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</si>
  <si>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</si>
  <si>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</si>
  <si>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</si>
  <si>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</si>
  <si>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</si>
  <si>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</si>
  <si>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</si>
  <si>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</si>
  <si>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</si>
  <si>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</si>
  <si>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</si>
  <si>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</si>
  <si>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</si>
  <si>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</si>
  <si>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</si>
  <si>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</si>
  <si>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</si>
  <si>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</si>
  <si>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</si>
  <si>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</si>
  <si>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</si>
  <si>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</si>
  <si>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</si>
  <si>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</si>
  <si>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</si>
  <si>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</si>
  <si>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</si>
  <si>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</si>
  <si>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</si>
  <si>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</si>
  <si>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</si>
  <si>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</si>
  <si>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</si>
  <si>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</si>
  <si>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</si>
  <si>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</si>
  <si>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</si>
  <si>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</si>
  <si>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</si>
  <si>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</si>
  <si>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</si>
  <si>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</si>
  <si>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</si>
  <si>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</si>
  <si>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</si>
  <si>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</si>
  <si>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</si>
  <si>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</si>
  <si>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</si>
  <si>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</si>
  <si>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</si>
  <si>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</si>
  <si>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</si>
  <si>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</si>
  <si>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</si>
  <si>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</si>
  <si>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</si>
  <si>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</si>
  <si>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</si>
  <si>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</si>
  <si>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</si>
  <si>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</si>
  <si>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</si>
  <si>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</si>
  <si>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</si>
  <si>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</si>
  <si>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</si>
  <si>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</si>
  <si>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</si>
  <si>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</si>
  <si>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</si>
  <si>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</si>
  <si>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</si>
  <si>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</si>
  <si>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</si>
  <si>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</si>
  <si>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</si>
  <si>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</si>
  <si>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</si>
  <si>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</si>
  <si>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</si>
  <si>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</si>
  <si>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</si>
  <si>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</si>
  <si>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</si>
  <si>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</si>
  <si>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</si>
  <si>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</si>
  <si>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</si>
  <si>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</si>
  <si>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</si>
  <si>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</si>
  <si>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</si>
  <si>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</si>
  <si>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</si>
  <si>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</si>
  <si>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</si>
  <si>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</si>
  <si>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</si>
  <si>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</si>
  <si>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</si>
  <si>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</si>
  <si>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</si>
  <si>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</si>
  <si>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</si>
  <si>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</si>
  <si>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</si>
  <si>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</si>
  <si>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</si>
  <si>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</si>
  <si>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</si>
  <si>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</si>
  <si>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</si>
  <si>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</si>
  <si>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</si>
  <si>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</si>
  <si>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</si>
  <si>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</si>
  <si>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</si>
  <si>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</si>
  <si>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</si>
  <si>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</si>
  <si>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</si>
  <si>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</si>
  <si>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</si>
  <si>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</si>
  <si>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</si>
  <si>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</si>
  <si>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</si>
  <si>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</si>
  <si>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</si>
  <si>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</si>
  <si>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</si>
  <si>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</si>
  <si>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</si>
  <si>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</si>
  <si>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</si>
  <si>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</si>
  <si>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</si>
  <si>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</si>
  <si>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</si>
  <si>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</si>
  <si>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</si>
  <si>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</si>
  <si>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</si>
  <si>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</si>
  <si>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</si>
  <si>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</si>
  <si>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</si>
  <si>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</si>
  <si>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</si>
  <si>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</si>
  <si>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</si>
  <si>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</si>
  <si>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</si>
  <si>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</si>
  <si>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</si>
  <si>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</si>
  <si>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</si>
  <si>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</si>
  <si>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</si>
  <si>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</si>
  <si>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</si>
  <si>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</si>
  <si>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</si>
  <si>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</si>
  <si>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</si>
  <si>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</si>
  <si>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</si>
  <si>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</si>
  <si>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</si>
  <si>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</si>
  <si>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</si>
  <si>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</si>
  <si>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</si>
  <si>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</si>
  <si>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</si>
  <si>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</si>
  <si>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</si>
  <si>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</si>
  <si>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</si>
  <si>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</si>
  <si>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</si>
  <si>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</si>
  <si>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</si>
  <si>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</si>
  <si>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</si>
  <si>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</si>
  <si>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</si>
  <si>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</si>
  <si>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</si>
  <si>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</si>
  <si>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</si>
  <si>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</si>
  <si>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</si>
  <si>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</si>
  <si>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</si>
  <si>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</si>
  <si>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</si>
  <si>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</si>
  <si>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</si>
  <si>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</si>
  <si>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</si>
  <si>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</si>
  <si>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</si>
  <si>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</si>
  <si>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</si>
  <si>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</si>
  <si>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</si>
  <si>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</si>
  <si>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</si>
  <si>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</si>
  <si>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</si>
  <si>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</si>
  <si>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</si>
  <si>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</si>
  <si>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</si>
  <si>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</si>
  <si>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</si>
  <si>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</si>
  <si>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</si>
  <si>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</si>
  <si>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</si>
  <si>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</si>
  <si>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</si>
  <si>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</si>
  <si>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</si>
  <si>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</si>
  <si>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</si>
  <si>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</si>
  <si>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</si>
  <si>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</si>
  <si>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</si>
  <si>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</si>
  <si>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</si>
  <si>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</si>
  <si>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</si>
  <si>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</si>
  <si>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</si>
  <si>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</si>
  <si>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</si>
  <si>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</si>
  <si>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</si>
  <si>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</si>
  <si>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</si>
  <si>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</si>
  <si>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</si>
  <si>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</si>
  <si>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</si>
  <si>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</si>
  <si>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</si>
  <si>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</si>
  <si>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</si>
  <si>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</si>
  <si>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</si>
  <si>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</si>
  <si>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</si>
  <si>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</si>
  <si>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</si>
  <si>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</si>
  <si>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</si>
  <si>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</si>
  <si>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</si>
  <si>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</si>
  <si>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</si>
  <si>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</si>
  <si>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</si>
  <si>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</si>
  <si>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</si>
  <si>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</si>
  <si>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</si>
  <si>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</si>
  <si>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</si>
  <si>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</si>
  <si>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</si>
  <si>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</si>
  <si>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</si>
  <si>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</si>
  <si>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</si>
  <si>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</si>
  <si>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</si>
  <si>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</si>
  <si>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</si>
  <si>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</si>
  <si>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</si>
  <si>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</si>
  <si>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</si>
  <si>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</si>
  <si>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</si>
  <si>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</si>
  <si>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</si>
  <si>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</si>
  <si>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</si>
  <si>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</si>
  <si>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</si>
  <si>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</si>
  <si>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</si>
  <si>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</si>
  <si>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</si>
  <si>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</si>
  <si>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</si>
  <si>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</si>
  <si>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</si>
  <si>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</si>
  <si>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</si>
  <si>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</si>
  <si>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</si>
  <si>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</si>
  <si>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</si>
  <si>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</si>
  <si>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</si>
  <si>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</si>
  <si>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</si>
  <si>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</si>
  <si>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</si>
  <si>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</si>
  <si>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</si>
  <si>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</si>
  <si>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</si>
  <si>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</si>
  <si>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</si>
  <si>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</si>
  <si>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</si>
  <si>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</si>
  <si>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</si>
  <si>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</si>
  <si>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</si>
  <si>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</si>
  <si>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</si>
  <si>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</si>
  <si>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</si>
  <si>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</si>
  <si>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</si>
  <si>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</si>
  <si>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</si>
  <si>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</si>
  <si>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</si>
  <si>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</si>
  <si>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</si>
  <si>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</si>
  <si>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</si>
  <si>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</si>
  <si>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</si>
  <si>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</si>
  <si>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</si>
  <si>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</si>
  <si>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</si>
  <si>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</si>
  <si>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</si>
  <si>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</si>
  <si>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</si>
  <si>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</si>
  <si>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</si>
  <si>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</si>
  <si>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</si>
  <si>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</si>
  <si>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</si>
  <si>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</si>
  <si>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</si>
  <si>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</si>
  <si>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</si>
  <si>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</si>
  <si>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</si>
  <si>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</si>
  <si>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</si>
  <si>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</si>
  <si>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</si>
  <si>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</si>
  <si>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</si>
  <si>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</si>
  <si>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</si>
  <si>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</si>
  <si>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</si>
  <si>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</si>
  <si>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</si>
  <si>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</si>
  <si>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</si>
  <si>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</si>
  <si>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</si>
  <si>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</si>
  <si>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</si>
  <si>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</si>
  <si>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</si>
  <si>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</si>
  <si>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</si>
  <si>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</si>
  <si>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</si>
  <si>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</si>
  <si>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</si>
  <si>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</si>
  <si>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</si>
  <si>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</si>
  <si>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</si>
  <si>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</si>
  <si>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</si>
  <si>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</si>
  <si>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</si>
  <si>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</si>
  <si>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</si>
  <si>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</si>
  <si>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</si>
  <si>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</si>
  <si>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</si>
  <si>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</si>
  <si>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</si>
  <si>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</si>
  <si>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</si>
  <si>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</si>
  <si>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</si>
  <si>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</si>
  <si>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</si>
  <si>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</si>
  <si>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</si>
  <si>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</si>
  <si>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</si>
  <si>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</si>
  <si>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</si>
  <si>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</si>
  <si>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</si>
  <si>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</si>
  <si>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</si>
  <si>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</si>
  <si>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</si>
  <si>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</si>
  <si>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</si>
  <si>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</si>
  <si>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</si>
  <si>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</si>
  <si>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</si>
  <si>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</si>
  <si>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</si>
  <si>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</si>
  <si>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</si>
  <si>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</si>
  <si>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</si>
  <si>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</si>
  <si>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</si>
  <si>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</si>
  <si>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</si>
  <si>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</si>
  <si>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</si>
  <si>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</si>
  <si>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</si>
  <si>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</si>
  <si>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</si>
  <si>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</si>
  <si>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</si>
  <si>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</si>
  <si>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</si>
  <si>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</si>
  <si>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</si>
  <si>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</si>
  <si>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</si>
  <si>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</si>
  <si>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</si>
  <si>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</si>
  <si>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</si>
  <si>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</si>
  <si>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</si>
  <si>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</si>
  <si>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</si>
  <si>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</si>
  <si>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</si>
  <si>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</si>
  <si>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</si>
  <si>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</si>
  <si>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</si>
  <si>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</si>
  <si>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</si>
  <si>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</si>
  <si>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</si>
  <si>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</si>
  <si>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</si>
  <si>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</si>
  <si>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</si>
  <si>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</si>
  <si>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</si>
  <si>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</si>
  <si>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</si>
  <si>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</si>
  <si>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</si>
  <si>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</si>
  <si>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</si>
  <si>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</si>
  <si>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</si>
  <si>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</si>
  <si>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</si>
  <si>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</si>
  <si>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</si>
  <si>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</si>
  <si>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</si>
  <si>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</si>
  <si>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</si>
  <si>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</si>
  <si>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</si>
  <si>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</si>
  <si>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</si>
  <si>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</si>
  <si>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</si>
  <si>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</si>
  <si>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</si>
  <si>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</si>
  <si>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</si>
  <si>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</si>
  <si>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</si>
  <si>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</si>
  <si>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</si>
  <si>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</si>
  <si>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</si>
  <si>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</si>
  <si>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</si>
  <si>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</si>
  <si>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</si>
  <si>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</si>
  <si>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</si>
  <si>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</si>
  <si>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</si>
  <si>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</si>
  <si>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</si>
  <si>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</si>
  <si>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</si>
  <si>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</si>
  <si>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</si>
  <si>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</si>
  <si>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</si>
  <si>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</si>
  <si>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</si>
  <si>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</si>
  <si>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</si>
  <si>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</si>
  <si>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</si>
  <si>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</si>
  <si>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</si>
  <si>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</si>
  <si>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</si>
  <si>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</si>
  <si>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</si>
  <si>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</si>
  <si>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</si>
  <si>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</si>
  <si>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</si>
  <si>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</si>
  <si>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</si>
  <si>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</si>
  <si>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</si>
  <si>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</si>
  <si>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</si>
  <si>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</si>
  <si>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</si>
  <si>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</si>
  <si>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</si>
  <si>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</si>
  <si>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</si>
  <si>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</si>
  <si>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</si>
  <si>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</si>
  <si>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</si>
  <si>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</si>
  <si>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</si>
  <si>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</si>
  <si>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</si>
  <si>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</si>
  <si>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</si>
  <si>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</si>
  <si>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</si>
  <si>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</si>
  <si>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</si>
  <si>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</si>
  <si>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</si>
  <si>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</si>
  <si>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</si>
  <si>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</si>
  <si>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</si>
  <si>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</si>
  <si>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</si>
  <si>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</si>
  <si>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</si>
  <si>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</si>
  <si>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</si>
  <si>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</si>
  <si>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</si>
  <si>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</si>
  <si>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</si>
  <si>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</si>
  <si>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</si>
  <si>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</si>
  <si>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</si>
  <si>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</si>
  <si>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</si>
  <si>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</si>
  <si>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</si>
  <si>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</si>
  <si>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</si>
  <si>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</si>
  <si>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</si>
  <si>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</si>
  <si>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</si>
  <si>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</si>
  <si>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</si>
  <si>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</si>
  <si>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</si>
  <si>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</si>
  <si>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</si>
  <si>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</si>
  <si>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</si>
  <si>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</si>
  <si>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</si>
  <si>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</si>
  <si>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</si>
  <si>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</si>
  <si>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</si>
  <si>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</si>
  <si>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</si>
  <si>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</si>
  <si>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</si>
  <si>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</si>
  <si>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</si>
  <si>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</si>
  <si>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</si>
  <si>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</si>
  <si>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</si>
  <si>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</si>
  <si>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</si>
  <si>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</si>
  <si>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</si>
  <si>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</si>
  <si>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</si>
  <si>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</si>
  <si>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</si>
  <si>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</si>
  <si>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</si>
  <si>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</si>
  <si>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</si>
  <si>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</si>
  <si>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</si>
  <si>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</si>
  <si>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</si>
  <si>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</si>
  <si>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</si>
  <si>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</si>
  <si>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</si>
  <si>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</si>
  <si>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</si>
  <si>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</si>
  <si>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</si>
  <si>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</si>
  <si>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</si>
  <si>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</si>
  <si>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</si>
  <si>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</si>
  <si>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</si>
  <si>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</si>
  <si>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</si>
  <si>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</si>
  <si>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</si>
  <si>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</si>
  <si>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</si>
  <si>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</si>
  <si>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</si>
  <si>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</si>
  <si>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</si>
  <si>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</si>
  <si>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</si>
  <si>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</si>
  <si>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</si>
  <si>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</si>
  <si>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</si>
  <si>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</si>
  <si>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</si>
  <si>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</si>
  <si>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</si>
  <si>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</si>
  <si>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</si>
  <si>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</si>
  <si>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</si>
  <si>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</si>
  <si>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</si>
  <si>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</si>
  <si>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</si>
  <si>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</si>
  <si>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</si>
  <si>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</si>
  <si>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</si>
  <si>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</si>
  <si>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</si>
  <si>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</si>
  <si>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</si>
  <si>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</si>
  <si>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</si>
  <si>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</si>
  <si>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</si>
  <si>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</si>
  <si>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</si>
  <si>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</si>
  <si>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</si>
  <si>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</si>
  <si>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</si>
  <si>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</si>
  <si>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</si>
  <si>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</si>
  <si>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</si>
  <si>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</si>
  <si>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</si>
  <si>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</si>
  <si>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</si>
  <si>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</si>
  <si>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</si>
  <si>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</si>
  <si>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</si>
  <si>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</si>
  <si>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</si>
  <si>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</si>
  <si>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</si>
  <si>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</si>
  <si>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</si>
  <si>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</si>
  <si>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</si>
  <si>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</si>
  <si>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</si>
  <si>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</si>
  <si>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</si>
  <si>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</si>
  <si>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</si>
  <si>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</si>
  <si>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</si>
  <si>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</si>
  <si>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</si>
  <si>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</si>
  <si>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</si>
  <si>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</si>
  <si>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</si>
  <si>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</si>
  <si>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</si>
  <si>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</si>
  <si>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</si>
  <si>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</si>
  <si>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</si>
  <si>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</si>
  <si>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</si>
  <si>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</si>
  <si>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</si>
  <si>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</si>
  <si>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</si>
  <si>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</si>
  <si>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</si>
  <si>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</si>
  <si>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</si>
  <si>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</si>
  <si>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</si>
  <si>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</si>
  <si>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</si>
  <si>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</si>
  <si>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</si>
  <si>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</si>
  <si>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</si>
  <si>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</si>
  <si>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</si>
  <si>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</si>
  <si>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</si>
  <si>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</si>
  <si>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</si>
  <si>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</si>
  <si>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</si>
  <si>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</si>
  <si>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</si>
  <si>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</si>
  <si>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</si>
  <si>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</si>
  <si>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</si>
  <si>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</si>
  <si>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</si>
  <si>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</si>
  <si>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</si>
  <si>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</si>
  <si>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</si>
  <si>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</si>
  <si>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</si>
  <si>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</si>
  <si>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</si>
  <si>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</si>
  <si>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</si>
  <si>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</si>
  <si>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</si>
  <si>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</si>
  <si>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</si>
  <si>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</si>
  <si>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</si>
  <si>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</si>
  <si>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</si>
  <si>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</si>
  <si>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</si>
  <si>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</si>
  <si>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</si>
  <si>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</si>
  <si>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</si>
  <si>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</si>
  <si>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</si>
  <si>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</si>
  <si>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</si>
  <si>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</si>
  <si>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</si>
  <si>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</si>
  <si>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</si>
  <si>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</si>
  <si>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</si>
  <si>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</si>
  <si>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</si>
  <si>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</si>
  <si>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</si>
  <si>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</si>
  <si>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</si>
  <si>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</si>
  <si>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</si>
  <si>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</si>
  <si>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</si>
  <si>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</si>
  <si>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</si>
  <si>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</si>
  <si>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</si>
  <si>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</si>
  <si>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</si>
  <si>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</si>
  <si>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</si>
  <si>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</si>
  <si>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</si>
  <si>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</si>
  <si>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</si>
  <si>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</si>
  <si>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</si>
  <si>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</si>
  <si>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</si>
  <si>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</si>
  <si>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</si>
  <si>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</si>
  <si>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</si>
  <si>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</si>
  <si>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</si>
  <si>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</si>
  <si>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</si>
  <si>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</si>
  <si>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</si>
  <si>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</si>
  <si>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</si>
  <si>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</si>
  <si>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</si>
  <si>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</si>
  <si>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</si>
  <si>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</si>
  <si>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</si>
  <si>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</si>
  <si>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</si>
  <si>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</si>
  <si>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</si>
  <si>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</si>
  <si>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</si>
  <si>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</si>
  <si>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</si>
  <si>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</si>
  <si>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</si>
  <si>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</si>
  <si>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</si>
  <si>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</si>
  <si>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</si>
  <si>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</si>
  <si>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</si>
  <si>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</si>
  <si>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</si>
  <si>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</si>
  <si>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</si>
  <si>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</si>
  <si>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</si>
  <si>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</si>
  <si>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</si>
  <si>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</si>
  <si>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</si>
  <si>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</si>
  <si>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</si>
  <si>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</si>
  <si>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</si>
  <si>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</si>
  <si>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</si>
  <si>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</si>
  <si>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</si>
  <si>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</si>
  <si>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</si>
  <si>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</si>
  <si>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</si>
  <si>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</si>
  <si>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</si>
  <si>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</si>
  <si>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</si>
  <si>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</si>
  <si>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</si>
  <si>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</si>
  <si>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</si>
  <si>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</si>
  <si>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</si>
  <si>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</si>
  <si>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</si>
  <si>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</si>
  <si>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</si>
  <si>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</si>
  <si>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</si>
  <si>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</si>
  <si>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</si>
  <si>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</si>
  <si>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</si>
  <si>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</si>
  <si>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</si>
  <si>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</si>
  <si>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</si>
  <si>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</si>
  <si>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</si>
  <si>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</si>
  <si>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</si>
  <si>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</si>
  <si>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</si>
  <si>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</si>
  <si>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</si>
  <si>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</si>
  <si>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</si>
  <si>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</si>
  <si>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</si>
  <si>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</si>
  <si>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</si>
  <si>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</si>
  <si>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</si>
  <si>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</si>
  <si>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</si>
  <si>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</si>
  <si>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</si>
  <si>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</si>
  <si>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</si>
  <si>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</si>
  <si>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</si>
  <si>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</si>
  <si>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</si>
  <si>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</si>
  <si>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</si>
  <si>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</si>
  <si>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</si>
  <si>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</si>
  <si>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</si>
  <si>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</si>
  <si>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</si>
  <si>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</si>
  <si>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</si>
  <si>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</si>
  <si>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</si>
  <si>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</si>
  <si>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</si>
  <si>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</si>
  <si>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</si>
  <si>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</si>
  <si>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</si>
  <si>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</si>
  <si>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</si>
  <si>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</si>
  <si>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</si>
  <si>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</si>
  <si>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</si>
  <si>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</si>
  <si>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</si>
  <si>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</si>
  <si>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</si>
  <si>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</si>
  <si>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</si>
  <si>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</si>
  <si>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</si>
  <si>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</si>
  <si>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</si>
  <si>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</si>
  <si>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</si>
  <si>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</si>
  <si>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</si>
  <si>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</si>
  <si>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</si>
  <si>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</si>
  <si>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</si>
  <si>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</si>
  <si>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</si>
  <si>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</si>
  <si>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</si>
  <si>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</si>
  <si>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</si>
  <si>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</si>
  <si>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</si>
  <si>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</si>
  <si>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</si>
  <si>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</si>
  <si>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</si>
  <si>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</si>
  <si>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</si>
  <si>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</si>
  <si>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</si>
  <si>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</si>
  <si>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</si>
  <si>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</si>
  <si>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</si>
  <si>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</si>
  <si>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</si>
  <si>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</si>
  <si>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</si>
  <si>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</si>
  <si>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</si>
  <si>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</si>
  <si>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</si>
  <si>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</si>
  <si>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</si>
  <si>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</si>
  <si>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</si>
  <si>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</si>
  <si>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</si>
  <si>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</si>
  <si>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</si>
  <si>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</si>
  <si>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</si>
  <si>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</si>
  <si>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</si>
  <si>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</si>
  <si>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</si>
  <si>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</si>
  <si>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</si>
  <si>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</si>
  <si>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</si>
  <si>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</si>
  <si>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</si>
  <si>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</si>
  <si>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</si>
  <si>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</si>
  <si>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</si>
  <si>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</si>
  <si>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</si>
  <si>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</si>
  <si>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</si>
  <si>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</si>
  <si>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</si>
  <si>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</si>
  <si>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</si>
  <si>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</si>
  <si>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</si>
  <si>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</si>
  <si>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</si>
  <si>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</si>
  <si>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</si>
  <si>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</si>
  <si>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</si>
  <si>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</si>
  <si>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</si>
  <si>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</si>
  <si>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</si>
  <si>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</si>
  <si>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</si>
  <si>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</si>
  <si>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</si>
  <si>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</si>
  <si>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</si>
  <si>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</si>
  <si>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</si>
  <si>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</si>
  <si>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</si>
  <si>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</si>
  <si>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</si>
  <si>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</si>
  <si>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</si>
  <si>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</si>
  <si>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</si>
  <si>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</si>
  <si>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</si>
  <si>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</si>
  <si>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</si>
  <si>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</si>
  <si>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</si>
  <si>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</si>
  <si>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</si>
  <si>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</si>
  <si>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</si>
  <si>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</si>
  <si>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</si>
  <si>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</si>
  <si>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</si>
  <si>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</si>
  <si>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</si>
  <si>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</si>
  <si>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</si>
  <si>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</si>
  <si>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</si>
  <si>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</si>
  <si>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</si>
  <si>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</si>
  <si>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</si>
  <si>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</si>
  <si>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</si>
  <si>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</si>
  <si>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</si>
  <si>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</si>
  <si>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</si>
  <si>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</si>
  <si>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</si>
  <si>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</si>
  <si>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</si>
  <si>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</si>
  <si>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</si>
  <si>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</si>
  <si>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</si>
  <si>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</si>
  <si>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</si>
  <si>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</si>
  <si>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</si>
  <si>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</si>
  <si>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</si>
  <si>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</si>
  <si>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</si>
  <si>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</si>
  <si>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</si>
  <si>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</si>
  <si>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</si>
  <si>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</si>
  <si>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</si>
  <si>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</si>
  <si>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</si>
  <si>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</si>
  <si>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</si>
  <si>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</si>
  <si>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</si>
  <si>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</si>
  <si>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</si>
  <si>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</si>
  <si>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</si>
  <si>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</si>
  <si>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</si>
  <si>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</si>
  <si>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</si>
  <si>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</si>
  <si>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</si>
  <si>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</si>
  <si>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</si>
  <si>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</si>
  <si>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</si>
  <si>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</si>
  <si>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</si>
  <si>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</si>
  <si>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</si>
  <si>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</si>
  <si>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</si>
  <si>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</si>
  <si>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</si>
  <si>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</si>
  <si>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</si>
  <si>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</si>
  <si>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</si>
  <si>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</si>
  <si>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</si>
  <si>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</si>
  <si>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</si>
  <si>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</si>
  <si>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</si>
  <si>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</si>
  <si>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</si>
  <si>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</si>
  <si>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</si>
  <si>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</si>
  <si>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</si>
  <si>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</si>
  <si>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</si>
  <si>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</si>
  <si>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</si>
  <si>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</si>
  <si>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</si>
  <si>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</si>
  <si>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</si>
  <si>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</si>
  <si>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</si>
  <si>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</si>
  <si>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</si>
  <si>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</si>
  <si>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</si>
  <si>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</si>
  <si>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</si>
  <si>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</si>
  <si>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</si>
  <si>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</si>
  <si>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</si>
  <si>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</si>
  <si>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</si>
  <si>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</si>
  <si>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</si>
  <si>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</si>
  <si>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</si>
  <si>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</si>
  <si>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</si>
  <si>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</si>
  <si>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</si>
  <si>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</si>
  <si>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</si>
  <si>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</si>
  <si>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</si>
  <si>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</si>
  <si>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</si>
  <si>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</si>
  <si>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</si>
  <si>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</si>
  <si>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</si>
  <si>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</si>
  <si>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</si>
  <si>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</si>
  <si>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</si>
  <si>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</si>
  <si>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</si>
  <si>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</si>
  <si>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</si>
  <si>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</si>
  <si>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</si>
  <si>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</si>
  <si>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</si>
  <si>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</si>
  <si>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</si>
  <si>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</si>
  <si>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</si>
  <si>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</si>
  <si>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</si>
  <si>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</si>
  <si>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</si>
  <si>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</si>
  <si>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</si>
  <si>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</si>
  <si>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</si>
  <si>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</si>
  <si>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</si>
  <si>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</si>
  <si>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</si>
  <si>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</si>
  <si>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</si>
  <si>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</si>
  <si>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</si>
  <si>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</si>
  <si>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</si>
  <si>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</si>
  <si>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</si>
  <si>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</si>
  <si>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</si>
  <si>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</si>
  <si>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</si>
  <si>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</si>
  <si>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</si>
  <si>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</si>
  <si>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</si>
  <si>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</si>
  <si>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</si>
  <si>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</si>
  <si>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</si>
  <si>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</si>
  <si>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</si>
  <si>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</si>
  <si>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</si>
  <si>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</si>
  <si>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</si>
  <si>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</si>
  <si>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</si>
  <si>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</si>
  <si>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</si>
  <si>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</si>
  <si>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</si>
  <si>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</si>
  <si>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</si>
  <si>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</si>
  <si>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</si>
  <si>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</si>
  <si>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</si>
  <si>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</si>
  <si>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</si>
  <si>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</si>
  <si>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</si>
  <si>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</si>
  <si>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</si>
  <si>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</si>
  <si>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</si>
  <si>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</si>
  <si>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</si>
  <si>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</si>
  <si>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</si>
  <si>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</si>
  <si>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</si>
  <si>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</si>
  <si>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</si>
  <si>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</si>
  <si>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</si>
  <si>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</si>
  <si>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</si>
  <si>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</si>
  <si>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</si>
  <si>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</si>
  <si>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</si>
  <si>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</si>
  <si>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</si>
  <si>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</si>
  <si>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</si>
  <si>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</si>
  <si>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</si>
  <si>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</si>
  <si>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</si>
  <si>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</si>
  <si>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</si>
  <si>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</si>
  <si>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</si>
  <si>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</si>
  <si>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</si>
  <si>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</si>
  <si>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</si>
  <si>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</si>
  <si>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</si>
  <si>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</si>
  <si>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</si>
  <si>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</si>
  <si>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</si>
  <si>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</si>
  <si>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</si>
  <si>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</si>
  <si>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</si>
  <si>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</si>
  <si>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</si>
  <si>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</si>
  <si>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</si>
  <si>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</si>
  <si>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</si>
  <si>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</si>
  <si>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</si>
  <si>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</si>
  <si>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</si>
  <si>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</si>
  <si>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</si>
  <si>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</si>
  <si>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</si>
  <si>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</si>
  <si>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</si>
  <si>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</si>
  <si>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</si>
  <si>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</si>
  <si>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</si>
  <si>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</si>
  <si>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</si>
  <si>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</si>
  <si>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</si>
  <si>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</si>
  <si>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</si>
  <si>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</si>
  <si>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</si>
  <si>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</si>
  <si>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</si>
  <si>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</si>
  <si>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</si>
  <si>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</si>
  <si>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</si>
  <si>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</si>
  <si>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</si>
  <si>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</si>
  <si>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</si>
  <si>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</si>
  <si>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</si>
  <si>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</si>
  <si>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</si>
  <si>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</si>
  <si>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</si>
  <si>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</si>
  <si>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</si>
  <si>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</si>
  <si>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</si>
  <si>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</si>
  <si>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</si>
  <si>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</si>
  <si>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</si>
  <si>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</si>
  <si>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</si>
  <si>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</si>
  <si>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</si>
  <si>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</si>
  <si>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</si>
  <si>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</si>
  <si>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</si>
  <si>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</si>
  <si>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</si>
  <si>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</si>
  <si>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</si>
  <si>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</si>
  <si>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</si>
  <si>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</si>
  <si>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</si>
  <si>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</si>
  <si>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</si>
  <si>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</si>
  <si>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</si>
  <si>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</si>
  <si>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</si>
  <si>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</si>
  <si>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</si>
  <si>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</si>
  <si>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</si>
  <si>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</si>
  <si>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</si>
  <si>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</si>
  <si>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</si>
  <si>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</si>
  <si>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</si>
  <si>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</si>
  <si>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</si>
  <si>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</si>
  <si>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</si>
  <si>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</si>
  <si>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</si>
  <si>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</si>
  <si>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</si>
  <si>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</si>
  <si>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</si>
  <si>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</si>
  <si>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</si>
  <si>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</si>
  <si>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</si>
  <si>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</si>
  <si>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</si>
  <si>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</si>
  <si>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</si>
  <si>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</si>
  <si>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</si>
  <si>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</si>
  <si>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</si>
  <si>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</si>
  <si>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</si>
  <si>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</si>
  <si>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</si>
  <si>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</si>
  <si>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</si>
  <si>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</si>
  <si>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</si>
  <si>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</si>
  <si>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</si>
  <si>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</si>
  <si>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</si>
  <si>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</si>
  <si>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</si>
  <si>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</si>
  <si>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</si>
  <si>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</si>
  <si>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</si>
  <si>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</si>
  <si>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</si>
  <si>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</si>
  <si>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</si>
  <si>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</si>
  <si>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</si>
  <si>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</si>
  <si>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</si>
  <si>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</si>
  <si>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</si>
  <si>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</si>
  <si>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</si>
  <si>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</si>
  <si>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</si>
  <si>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</si>
  <si>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</si>
  <si>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</si>
  <si>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</si>
  <si>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</si>
  <si>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</si>
  <si>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</si>
  <si>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</si>
  <si>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</si>
  <si>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</si>
  <si>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</si>
  <si>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</si>
  <si>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</si>
  <si>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</si>
  <si>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</si>
  <si>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</si>
  <si>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</si>
  <si>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</si>
  <si>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</si>
  <si>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</si>
  <si>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</si>
  <si>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</si>
  <si>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</si>
  <si>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</si>
  <si>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</si>
  <si>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</si>
  <si>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</si>
  <si>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</si>
  <si>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</si>
  <si>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</si>
  <si>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</si>
  <si>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</si>
  <si>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</si>
  <si>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</si>
  <si>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</si>
  <si>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</si>
  <si>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</si>
  <si>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</si>
  <si>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</si>
  <si>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</si>
  <si>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</si>
  <si>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</si>
  <si>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</si>
  <si>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</si>
  <si>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</si>
  <si>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</si>
  <si>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</si>
  <si>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</si>
  <si>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</si>
  <si>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</si>
  <si>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</si>
  <si>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</si>
  <si>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</si>
  <si>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</si>
  <si>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</si>
  <si>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</si>
  <si>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</si>
  <si>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</si>
  <si>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</si>
  <si>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</si>
  <si>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</si>
  <si>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</si>
  <si>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</si>
  <si>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</si>
  <si>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</si>
  <si>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</si>
  <si>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</si>
  <si>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</si>
  <si>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</si>
  <si>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</si>
  <si>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</si>
  <si>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</si>
  <si>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</si>
  <si>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</si>
  <si>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</si>
  <si>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</si>
  <si>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</si>
  <si>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</si>
  <si>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</si>
  <si>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</si>
  <si>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</si>
  <si>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</si>
  <si>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</si>
  <si>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</si>
  <si>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</si>
  <si>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</si>
  <si>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</si>
  <si>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</si>
  <si>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</si>
  <si>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</si>
  <si>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</si>
  <si>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</si>
  <si>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</si>
  <si>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</si>
  <si>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</si>
  <si>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</si>
  <si>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</si>
  <si>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</si>
  <si>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</si>
  <si>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</si>
  <si>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</si>
  <si>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</si>
  <si>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</si>
  <si>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</si>
  <si>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</si>
  <si>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</si>
  <si>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</si>
  <si>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</si>
  <si>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</si>
  <si>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</si>
  <si>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</si>
  <si>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</si>
  <si>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</si>
  <si>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</si>
  <si>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</si>
  <si>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</si>
  <si>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</si>
  <si>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</si>
  <si>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</si>
  <si>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</si>
  <si>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</si>
  <si>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</si>
  <si>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</si>
  <si>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</si>
  <si>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</si>
  <si>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</si>
  <si>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</si>
  <si>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</si>
  <si>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</si>
  <si>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</si>
  <si>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</si>
  <si>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</si>
  <si>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</si>
  <si>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</si>
  <si>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</si>
  <si>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</si>
  <si>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</si>
  <si>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</si>
  <si>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</si>
  <si>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</si>
  <si>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</si>
  <si>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</si>
  <si>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</si>
  <si>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</si>
  <si>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</si>
  <si>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</si>
  <si>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</si>
  <si>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</si>
  <si>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</si>
  <si>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</si>
  <si>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</si>
  <si>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</si>
  <si>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</si>
  <si>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</si>
  <si>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</si>
  <si>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</si>
  <si>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</si>
  <si>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</si>
  <si>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</si>
  <si>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</si>
  <si>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</si>
  <si>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</si>
  <si>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</si>
  <si>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</si>
  <si>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</si>
  <si>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</si>
  <si>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</si>
  <si>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</si>
  <si>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</si>
  <si>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</si>
  <si>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</si>
  <si>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</si>
  <si>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</si>
  <si>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</si>
  <si>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</si>
  <si>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</si>
  <si>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</si>
  <si>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</si>
  <si>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</si>
  <si>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</si>
  <si>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</si>
  <si>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</si>
  <si>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</si>
  <si>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</si>
  <si>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</si>
  <si>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</si>
  <si>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</si>
  <si>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</si>
  <si>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</si>
  <si>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</si>
  <si>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</si>
  <si>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</si>
  <si>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</si>
  <si>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</si>
  <si>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</si>
  <si>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</si>
  <si>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</si>
  <si>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</si>
  <si>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</si>
  <si>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</si>
  <si>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</si>
  <si>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</si>
  <si>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</si>
  <si>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</si>
  <si>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</si>
  <si>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</si>
  <si>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</si>
  <si>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</si>
  <si>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</si>
  <si>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</si>
  <si>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</si>
  <si>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</si>
  <si>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</si>
  <si>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</si>
  <si>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</si>
  <si>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</si>
  <si>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</si>
  <si>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</si>
  <si>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</si>
  <si>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</si>
  <si>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</si>
  <si>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</si>
  <si>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</si>
  <si>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</si>
  <si>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</si>
  <si>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</si>
  <si>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</si>
  <si>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</si>
  <si>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</si>
  <si>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</si>
  <si>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</si>
  <si>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</si>
  <si>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</si>
  <si>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</si>
  <si>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</si>
  <si>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</si>
  <si>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</si>
  <si>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</si>
  <si>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</si>
  <si>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</si>
  <si>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</si>
  <si>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</si>
  <si>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</si>
  <si>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</si>
  <si>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</si>
  <si>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</si>
  <si>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</si>
  <si>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</si>
  <si>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</si>
  <si>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</si>
  <si>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</si>
  <si>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</si>
  <si>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</si>
  <si>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</si>
  <si>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</si>
  <si>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</si>
  <si>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</si>
  <si>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</si>
  <si>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</si>
  <si>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</si>
  <si>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</si>
  <si>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</si>
  <si>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</si>
  <si>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</si>
  <si>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</si>
  <si>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</si>
  <si>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</si>
  <si>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</si>
  <si>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</si>
  <si>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</si>
  <si>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</si>
  <si>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</si>
  <si>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</si>
  <si>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</si>
  <si>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</si>
  <si>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</si>
  <si>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</si>
  <si>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</si>
  <si>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</si>
  <si>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</si>
  <si>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</si>
  <si>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</si>
  <si>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</si>
  <si>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</si>
  <si>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</si>
  <si>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</si>
  <si>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</si>
  <si>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</si>
  <si>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</si>
  <si>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</si>
  <si>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</si>
  <si>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2021-20-1</t>
  </si>
  <si>
    <t xml:space="preserve">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</si>
</sst>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 fillId="3" borderId="1" xfId="0" applyNumberFormat="1" applyFont="1" applyFill="1" applyBorder="1" applyAlignment="1" applyProtection="1">
      <alignment horizontal="lef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2769</v>
      </c>
      <c r="D15" s="35"/>
      <c r="E15" s="35"/>
      <c r="F15" s="5"/>
      <c r="G15" s="32" t="s">
        <v>1168</v>
      </c>
      <c r="H15" s="103" t="s">
        <v>459</v>
      </c>
      <c r="I15" s="32" t="s">
        <v>2624</v>
      </c>
      <c r="J15" s="108" t="s">
        <v>2626</v>
      </c>
      <c r="L15" s="224" t="s">
        <v>8</v>
      </c>
      <c r="M15" s="224"/>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3"/>
      <c r="I20" s="144" t="s">
        <v>459</v>
      </c>
      <c r="J20" s="145" t="s">
        <v>461</v>
      </c>
      <c r="K20" s="146">
        <v>3690186384</v>
      </c>
      <c r="L20" s="147">
        <v>44242</v>
      </c>
      <c r="M20" s="147">
        <v>44561</v>
      </c>
      <c r="N20" s="132">
        <f>+(M20-L20)/30</f>
        <v>10.633333333333333</v>
      </c>
      <c r="O20" s="135"/>
      <c r="U20" s="131"/>
      <c r="V20" s="105">
        <f ca="1">NOW()</f>
        <v>44201.918912962959</v>
      </c>
      <c r="W20" s="105">
        <f ca="1">NOW()</f>
        <v>44201.918912962959</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FUNDACION AMOR FE Y ESPERANZA</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t="s">
        <v>2770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5">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5">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5">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5">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5">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5">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5">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5">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5">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5">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5">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2">
        <v>43483</v>
      </c>
      <c r="F59" s="172">
        <v>43829</v>
      </c>
      <c r="G59" s="155">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5">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5">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5">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5">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5">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5">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5">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5">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5">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5">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5">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5">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5">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5">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5">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5">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5">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5">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5">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2">
        <v>42675</v>
      </c>
      <c r="F79" s="172">
        <v>42719</v>
      </c>
      <c r="G79" s="155">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2">
        <v>42675</v>
      </c>
      <c r="F80" s="172">
        <v>43312</v>
      </c>
      <c r="G80" s="155">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2">
        <v>42579</v>
      </c>
      <c r="F81" s="172">
        <v>42674</v>
      </c>
      <c r="G81" s="155">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2664</v>
      </c>
      <c r="C114" s="158" t="s">
        <v>31</v>
      </c>
      <c r="D114" s="120" t="s">
        <v>2758</v>
      </c>
      <c r="E114" s="142">
        <v>44174</v>
      </c>
      <c r="F114" s="142">
        <v>44773</v>
      </c>
      <c r="G114" s="155">
        <f>IF(AND(E114&lt;&gt;"",F114&lt;&gt;""),((F114-E114)/30),"")</f>
        <v>19.966666666666665</v>
      </c>
      <c r="H114" s="122" t="s">
        <v>2760</v>
      </c>
      <c r="I114" s="121" t="s">
        <v>220</v>
      </c>
      <c r="J114" s="121" t="s">
        <v>513</v>
      </c>
      <c r="K114" s="123">
        <v>7292865704</v>
      </c>
      <c r="L114" s="100">
        <f>+IF(AND(K114&gt;0,O114="Ejecución"),(K114/877802)*Tabla28[[#This Row],[% participación]],IF(AND(K114&gt;0,O114&lt;&gt;"Ejecución"),"-",""))</f>
        <v>8308.0987557558547</v>
      </c>
      <c r="M114" s="124" t="s">
        <v>1148</v>
      </c>
      <c r="N114" s="168">
        <v>1</v>
      </c>
      <c r="O114" s="157" t="s">
        <v>1150</v>
      </c>
      <c r="P114" s="78"/>
    </row>
    <row r="115" spans="1:16" s="6" customFormat="1" ht="24.75" customHeight="1" x14ac:dyDescent="0.25">
      <c r="A115" s="140">
        <v>2</v>
      </c>
      <c r="B115" s="156" t="s">
        <v>2664</v>
      </c>
      <c r="C115" s="158" t="s">
        <v>31</v>
      </c>
      <c r="D115" s="63" t="s">
        <v>2759</v>
      </c>
      <c r="E115" s="142">
        <v>44166</v>
      </c>
      <c r="F115" s="142">
        <v>44773</v>
      </c>
      <c r="G115" s="155">
        <f t="shared" ref="G115:G116" si="4">IF(AND(E115&lt;&gt;"",F115&lt;&gt;""),((F115-E115)/30),"")</f>
        <v>20.233333333333334</v>
      </c>
      <c r="H115" s="64" t="s">
        <v>2760</v>
      </c>
      <c r="I115" s="63" t="s">
        <v>453</v>
      </c>
      <c r="J115" s="63" t="s">
        <v>103</v>
      </c>
      <c r="K115" s="68">
        <v>2353232149</v>
      </c>
      <c r="L115" s="100">
        <f>+IF(AND(K115&gt;0,O115="Ejecución"),(K115/877802)*Tabla28[[#This Row],[% participación]],IF(AND(K115&gt;0,O115&lt;&gt;"Ejecución"),"-",""))</f>
        <v>2680.8234077844436</v>
      </c>
      <c r="M115" s="124" t="s">
        <v>1148</v>
      </c>
      <c r="N115" s="168">
        <v>1</v>
      </c>
      <c r="O115" s="157" t="s">
        <v>1150</v>
      </c>
      <c r="P115" s="78"/>
    </row>
    <row r="116" spans="1:16" s="6" customFormat="1" ht="24.75" customHeight="1" x14ac:dyDescent="0.25">
      <c r="A116" s="140">
        <v>3</v>
      </c>
      <c r="B116" s="156" t="s">
        <v>2664</v>
      </c>
      <c r="C116" s="158" t="s">
        <v>31</v>
      </c>
      <c r="D116" s="63" t="s">
        <v>2683</v>
      </c>
      <c r="E116" s="142">
        <v>43885</v>
      </c>
      <c r="F116" s="142">
        <v>44196</v>
      </c>
      <c r="G116" s="155">
        <f t="shared" si="4"/>
        <v>10.366666666666667</v>
      </c>
      <c r="H116" s="64" t="s">
        <v>2744</v>
      </c>
      <c r="I116" s="63" t="s">
        <v>220</v>
      </c>
      <c r="J116" s="63" t="s">
        <v>487</v>
      </c>
      <c r="K116" s="68">
        <v>3350882908</v>
      </c>
      <c r="L116" s="100">
        <f>+IF(AND(K116&gt;0,O116="Ejecución"),(K116/877802)*Tabla28[[#This Row],[% participación]],IF(AND(K116&gt;0,O116&lt;&gt;"Ejecución"),"-",""))</f>
        <v>3817.3562010567302</v>
      </c>
      <c r="M116" s="124" t="s">
        <v>1148</v>
      </c>
      <c r="N116" s="168">
        <v>1</v>
      </c>
      <c r="O116" s="157" t="s">
        <v>1150</v>
      </c>
      <c r="P116" s="78"/>
    </row>
    <row r="117" spans="1:16" s="6" customFormat="1" ht="24.75" customHeight="1" outlineLevel="1" x14ac:dyDescent="0.25">
      <c r="A117" s="140">
        <v>4</v>
      </c>
      <c r="B117" s="156" t="s">
        <v>2664</v>
      </c>
      <c r="C117" s="158" t="s">
        <v>31</v>
      </c>
      <c r="D117" s="63" t="s">
        <v>2686</v>
      </c>
      <c r="E117" s="142">
        <v>43885</v>
      </c>
      <c r="F117" s="142">
        <v>44196</v>
      </c>
      <c r="G117" s="155">
        <f t="shared" ref="G117:G159" si="5">IF(AND(E117&lt;&gt;"",F117&lt;&gt;""),((F117-E117)/30),"")</f>
        <v>10.366666666666667</v>
      </c>
      <c r="H117" s="64" t="s">
        <v>2761</v>
      </c>
      <c r="I117" s="63" t="s">
        <v>220</v>
      </c>
      <c r="J117" s="63" t="s">
        <v>487</v>
      </c>
      <c r="K117" s="68">
        <v>3819713349</v>
      </c>
      <c r="L117" s="100">
        <f>+IF(AND(K117&gt;0,O117="Ejecución"),(K117/877802)*Tabla28[[#This Row],[% participación]],IF(AND(K117&gt;0,O117&lt;&gt;"Ejecución"),"-",""))</f>
        <v>4351.4520917017735</v>
      </c>
      <c r="M117" s="124" t="s">
        <v>1148</v>
      </c>
      <c r="N117" s="168">
        <v>1</v>
      </c>
      <c r="O117" s="157" t="s">
        <v>1150</v>
      </c>
      <c r="P117" s="78"/>
    </row>
    <row r="118" spans="1:16" s="7" customFormat="1" ht="24.75" customHeight="1" outlineLevel="1" x14ac:dyDescent="0.25">
      <c r="A118" s="141">
        <v>5</v>
      </c>
      <c r="B118" s="156" t="s">
        <v>2664</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2664</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2664</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2664</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2664</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2664</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2664</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2664</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2664</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2664</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2664</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2664</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2664</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2664</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2664</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2664</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2664</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2664</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2664</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2664</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2664</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2664</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2664</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2664</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2664</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2664</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2664</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2664</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2664</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2664</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2664</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2664</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2664</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2664</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2664</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2664</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2664</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2664</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2664</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2664</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2664</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2664</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2664</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2762</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2763</v>
      </c>
      <c r="E167" s="8"/>
      <c r="F167" s="5"/>
      <c r="G167" s="107" t="s">
        <v>2763</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2668</v>
      </c>
      <c r="C179" s="191"/>
      <c r="D179" s="191"/>
      <c r="E179" s="166">
        <v>0.02</v>
      </c>
      <c r="F179" s="165">
        <v>0.01</v>
      </c>
      <c r="G179" s="160">
        <f>IF(F179&gt;0,SUM(E179+F179),"")</f>
        <v>0.03</v>
      </c>
      <c r="H179" s="5"/>
      <c r="I179" s="191" t="s">
        <v>2670</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110705591.52</v>
      </c>
      <c r="F185" s="92"/>
      <c r="G185" s="93"/>
      <c r="H185" s="88"/>
      <c r="I185" s="90" t="s">
        <v>2627</v>
      </c>
      <c r="J185" s="161">
        <f>+SUM(M179:M183)</f>
        <v>0.02</v>
      </c>
      <c r="K185" s="236" t="s">
        <v>2628</v>
      </c>
      <c r="L185" s="236"/>
      <c r="M185" s="94">
        <f>+J185*(SUM(K20:K35))</f>
        <v>73803727.680000007</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73">
        <v>41831</v>
      </c>
      <c r="D193" s="5"/>
      <c r="E193" s="174">
        <v>1518</v>
      </c>
      <c r="F193" s="5"/>
      <c r="G193" s="5"/>
      <c r="H193" s="175" t="s">
        <v>2764</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2766</v>
      </c>
      <c r="J211" s="27" t="s">
        <v>2622</v>
      </c>
      <c r="K211" s="176" t="s">
        <v>2766</v>
      </c>
      <c r="L211" s="21"/>
      <c r="M211" s="21"/>
      <c r="N211" s="21"/>
      <c r="O211" s="8"/>
    </row>
    <row r="212" spans="1:15" x14ac:dyDescent="0.25">
      <c r="A212" s="9"/>
      <c r="B212" s="27" t="s">
        <v>2619</v>
      </c>
      <c r="C212" s="175" t="s">
        <v>2765</v>
      </c>
      <c r="D212" s="21"/>
      <c r="G212" s="27" t="s">
        <v>2621</v>
      </c>
      <c r="H212" s="176" t="s">
        <v>2767</v>
      </c>
      <c r="J212" s="27" t="s">
        <v>2623</v>
      </c>
      <c r="K212" s="175"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2021-01-06T03:03:16Z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