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SAV_2017_5\Desktop\LIDER FINANCIERO\2020 JULIO\SOPORTES EXPERIENCIA FUNDACION\TEMPORAL\Manisfestaciones  para envi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600" windowWidth="10260" windowHeight="39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<sst xmlns="http://schemas.openxmlformats.org/spreadsheetml/2006/main" count="3146" uniqueCount="2704">
  <si>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</si>
  <si>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</si>
  <si>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</si>
  <si>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</si>
  <si>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</si>
  <si>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</si>
  <si>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</si>
  <si>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</si>
  <si>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</si>
  <si>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</si>
  <si>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</si>
  <si>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</si>
  <si>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</si>
  <si>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</si>
  <si>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</si>
  <si>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</si>
  <si>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</si>
  <si>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</si>
  <si>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</si>
  <si>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</si>
  <si>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</si>
  <si>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</si>
  <si>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</si>
  <si>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</si>
  <si>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</si>
  <si>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</si>
  <si>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</si>
  <si>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</si>
  <si>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</si>
  <si>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</si>
  <si>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</si>
  <si>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</si>
  <si>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</si>
  <si>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</si>
  <si>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</si>
  <si>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</si>
  <si>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</si>
  <si>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</si>
  <si>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</si>
  <si>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</si>
  <si>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</si>
  <si>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</si>
  <si>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</si>
  <si>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</si>
  <si>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</si>
  <si>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</si>
  <si>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</si>
  <si>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</si>
  <si>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</si>
  <si>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</si>
  <si>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</si>
  <si>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</si>
  <si>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</si>
  <si>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</si>
  <si>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</si>
  <si>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</si>
  <si>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</si>
  <si>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</si>
  <si>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</si>
  <si>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</si>
  <si>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</si>
  <si>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</si>
  <si>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</si>
  <si>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</si>
  <si>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</si>
  <si>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</si>
  <si>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</si>
  <si>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</si>
  <si>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</si>
  <si>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</si>
  <si>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</si>
  <si>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</si>
  <si>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</si>
  <si>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</si>
  <si>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</si>
  <si>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</si>
  <si>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</si>
  <si>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</si>
  <si>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</si>
  <si>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</si>
  <si>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</si>
  <si>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</si>
  <si>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</si>
  <si>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</si>
  <si>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</si>
  <si>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</si>
  <si>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</si>
  <si>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</si>
  <si>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</si>
  <si>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</si>
  <si>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</si>
  <si>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</si>
  <si>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</si>
  <si>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</si>
  <si>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</si>
  <si>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</si>
  <si>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</si>
  <si>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</si>
  <si>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</si>
  <si>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</si>
  <si>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</si>
  <si>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</si>
  <si>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</si>
  <si>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</si>
  <si>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</si>
  <si>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</si>
  <si>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</si>
  <si>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</si>
  <si>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</si>
  <si>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</si>
  <si>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</si>
  <si>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</si>
  <si>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</si>
  <si>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</si>
  <si>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</si>
  <si>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</si>
  <si>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</si>
  <si>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</si>
  <si>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</si>
  <si>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</si>
  <si>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</si>
  <si>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</si>
  <si>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</si>
  <si>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</si>
  <si>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</si>
  <si>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</si>
  <si>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</si>
  <si>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</si>
  <si>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</si>
  <si>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</si>
  <si>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</si>
  <si>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</si>
  <si>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</si>
  <si>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</si>
  <si>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</si>
  <si>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</si>
  <si>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</si>
  <si>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</si>
  <si>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</si>
  <si>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</si>
  <si>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</si>
  <si>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</si>
  <si>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</si>
  <si>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</si>
  <si>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</si>
  <si>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</si>
  <si>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</si>
  <si>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</si>
  <si>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</si>
  <si>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</si>
  <si>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</si>
  <si>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</si>
  <si>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</si>
  <si>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</si>
  <si>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</si>
  <si>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</si>
  <si>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</si>
  <si>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</si>
  <si>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</si>
  <si>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</si>
  <si>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</si>
  <si>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</si>
  <si>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</si>
  <si>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</si>
  <si>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</si>
  <si>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</si>
  <si>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</si>
  <si>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</si>
  <si>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</si>
  <si>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</si>
  <si>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</si>
  <si>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</si>
  <si>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</si>
  <si>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</si>
  <si>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</si>
  <si>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</si>
  <si>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</si>
  <si>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</si>
  <si>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</si>
  <si>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</si>
  <si>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</si>
  <si>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</si>
  <si>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</si>
  <si>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</si>
  <si>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</si>
  <si>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</si>
  <si>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</si>
  <si>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</si>
  <si>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</si>
  <si>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</si>
  <si>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</si>
  <si>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</si>
  <si>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</si>
  <si>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</si>
  <si>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</si>
  <si>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</si>
  <si>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</si>
  <si>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</si>
  <si>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</si>
  <si>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</si>
  <si>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</si>
  <si>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</si>
  <si>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</si>
  <si>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</si>
  <si>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</si>
  <si>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</si>
  <si>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</si>
  <si>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</si>
  <si>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</si>
  <si>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</si>
  <si>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</si>
  <si>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</si>
  <si>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</si>
  <si>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</si>
  <si>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</si>
  <si>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</si>
  <si>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</si>
  <si>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</si>
  <si>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</si>
  <si>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</si>
  <si>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</si>
  <si>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</si>
  <si>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</si>
  <si>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</si>
  <si>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</si>
  <si>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</si>
  <si>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</si>
  <si>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</si>
  <si>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</si>
  <si>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</si>
  <si>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</si>
  <si>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</si>
  <si>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</si>
  <si>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</si>
  <si>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</si>
  <si>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</si>
  <si>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</si>
  <si>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</si>
  <si>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</si>
  <si>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</si>
  <si>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</si>
  <si>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</si>
  <si>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</si>
  <si>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</si>
  <si>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</si>
  <si>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</si>
  <si>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</si>
  <si>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</si>
  <si>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</si>
  <si>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</si>
  <si>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</si>
  <si>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</si>
  <si>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</si>
  <si>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</si>
  <si>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</si>
  <si>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</si>
  <si>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</si>
  <si>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</si>
  <si>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</si>
  <si>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</si>
  <si>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</si>
  <si>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</si>
  <si>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</si>
  <si>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</si>
  <si>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</si>
  <si>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</si>
  <si>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</si>
  <si>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</si>
  <si>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</si>
  <si>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</si>
  <si>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</si>
  <si>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</si>
  <si>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</si>
  <si>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</si>
  <si>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</si>
  <si>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</si>
  <si>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</si>
  <si>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</si>
  <si>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</si>
  <si>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</si>
  <si>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</si>
  <si>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</si>
  <si>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</si>
  <si>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</si>
  <si>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</si>
  <si>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</si>
  <si>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</si>
  <si>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</si>
  <si>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</si>
  <si>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</si>
  <si>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</si>
  <si>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</si>
  <si>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</si>
  <si>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</si>
  <si>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</si>
  <si>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</si>
  <si>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</si>
  <si>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</si>
  <si>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</si>
  <si>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</si>
  <si>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</si>
  <si>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</si>
  <si>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</si>
  <si>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</si>
  <si>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</si>
  <si>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</si>
  <si>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</si>
  <si>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</si>
  <si>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</si>
  <si>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</si>
  <si>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</si>
  <si>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</si>
  <si>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</si>
  <si>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</si>
  <si>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</si>
  <si>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</si>
  <si>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</si>
  <si>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</si>
  <si>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</si>
  <si>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</si>
  <si>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</si>
  <si>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</si>
  <si>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</si>
  <si>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</si>
  <si>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</si>
  <si>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</si>
  <si>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</si>
  <si>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</si>
  <si>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</si>
  <si>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</si>
  <si>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</si>
  <si>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</si>
  <si>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</si>
  <si>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</si>
  <si>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</si>
  <si>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</si>
  <si>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</si>
  <si>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</si>
  <si>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</si>
  <si>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</si>
  <si>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</si>
  <si>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</si>
  <si>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</si>
  <si>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</si>
  <si>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</si>
  <si>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</si>
  <si>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</si>
  <si>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</si>
  <si>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</si>
  <si>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</si>
  <si>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</si>
  <si>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</si>
  <si>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</si>
  <si>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</si>
  <si>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</si>
  <si>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</si>
  <si>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</si>
  <si>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</si>
  <si>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</si>
  <si>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</si>
  <si>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</si>
  <si>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</si>
  <si>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</si>
  <si>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</si>
  <si>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</si>
  <si>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</si>
  <si>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</si>
  <si>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</si>
  <si>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</si>
  <si>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</si>
  <si>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</si>
  <si>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</si>
  <si>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</si>
  <si>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</si>
  <si>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</si>
  <si>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</si>
  <si>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</si>
  <si>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</si>
  <si>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</si>
  <si>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</si>
  <si>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</si>
  <si>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</si>
  <si>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</si>
  <si>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</si>
  <si>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</si>
  <si>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</si>
  <si>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</si>
  <si>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</si>
  <si>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</si>
  <si>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</si>
  <si>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</si>
  <si>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</si>
  <si>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</si>
  <si>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</si>
  <si>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</si>
  <si>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</si>
  <si>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</si>
  <si>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</si>
  <si>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</si>
  <si>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</si>
  <si>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</si>
  <si>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</si>
  <si>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</si>
  <si>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</si>
  <si>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</si>
  <si>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</si>
  <si>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</si>
  <si>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</si>
  <si>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</si>
  <si>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</si>
  <si>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</si>
  <si>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</si>
  <si>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</si>
  <si>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</si>
  <si>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</si>
  <si>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</si>
  <si>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</si>
  <si>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</si>
  <si>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</si>
  <si>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</si>
  <si>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</si>
  <si>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</si>
  <si>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</si>
  <si>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</si>
  <si>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</si>
  <si>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</si>
  <si>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</si>
  <si>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</si>
  <si>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</si>
  <si>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</si>
  <si>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</si>
  <si>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</si>
  <si>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</si>
  <si>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</si>
  <si>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</si>
  <si>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</si>
  <si>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</si>
  <si>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</si>
  <si>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</si>
  <si>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</si>
  <si>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</si>
  <si>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</si>
  <si>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</si>
  <si>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</si>
  <si>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</si>
  <si>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</si>
  <si>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</si>
  <si>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</si>
  <si>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</si>
  <si>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</si>
  <si>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</si>
  <si>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</si>
  <si>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</si>
  <si>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</si>
  <si>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</si>
  <si>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</si>
  <si>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</si>
  <si>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</si>
  <si>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</si>
  <si>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</si>
  <si>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</si>
  <si>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</si>
  <si>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</si>
  <si>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</si>
  <si>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</si>
  <si>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</si>
  <si>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</si>
  <si>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</si>
  <si>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</si>
  <si>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</si>
  <si>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</si>
  <si>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</si>
  <si>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</si>
  <si>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</si>
  <si>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</si>
  <si>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</si>
  <si>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</si>
  <si>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</si>
  <si>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</si>
  <si>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</si>
  <si>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</si>
  <si>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</si>
  <si>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</si>
  <si>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</si>
  <si>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</si>
  <si>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</si>
  <si>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</si>
  <si>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</si>
  <si>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</si>
  <si>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</si>
  <si>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</si>
  <si>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</si>
  <si>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</si>
  <si>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</si>
  <si>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</si>
  <si>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</si>
  <si>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</si>
  <si>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</si>
  <si>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</si>
  <si>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</si>
  <si>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</si>
  <si>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</si>
  <si>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</si>
  <si>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</si>
  <si>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</si>
  <si>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</si>
  <si>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</si>
  <si>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</si>
  <si>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</si>
  <si>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</si>
  <si>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</si>
  <si>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</si>
  <si>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</si>
  <si>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</si>
  <si>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</si>
  <si>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</si>
  <si>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</si>
  <si>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</si>
  <si>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</si>
  <si>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</si>
  <si>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</si>
  <si>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</si>
  <si>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</si>
  <si>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</si>
  <si>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</si>
  <si>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</si>
  <si>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</si>
  <si>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</si>
  <si>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</si>
  <si>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</si>
  <si>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</si>
  <si>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</si>
  <si>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</si>
  <si>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</si>
  <si>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</si>
  <si>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</si>
  <si>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</si>
  <si>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</si>
  <si>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</si>
  <si>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</si>
  <si>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</si>
  <si>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</si>
  <si>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</si>
  <si>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</si>
  <si>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</si>
  <si>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</si>
  <si>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</si>
  <si>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</si>
  <si>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</si>
  <si>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</si>
  <si>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</si>
  <si>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</si>
  <si>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</si>
  <si>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</si>
  <si>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</si>
  <si>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</si>
  <si>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</si>
  <si>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</si>
  <si>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</si>
  <si>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</si>
  <si>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</si>
  <si>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</si>
  <si>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</si>
  <si>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</si>
  <si>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</si>
  <si>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</si>
  <si>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</si>
  <si>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</si>
  <si>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</si>
  <si>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</si>
  <si>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</si>
  <si>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</si>
  <si>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</si>
  <si>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</si>
  <si>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</si>
  <si>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</si>
  <si>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</si>
  <si>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</si>
  <si>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</si>
  <si>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</si>
  <si>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</si>
  <si>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</si>
  <si>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</si>
  <si>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</si>
  <si>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</si>
  <si>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</si>
  <si>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</si>
  <si>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</si>
  <si>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</si>
  <si>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</si>
  <si>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</si>
  <si>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</si>
  <si>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</si>
  <si>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</si>
  <si>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</si>
  <si>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</si>
  <si>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</si>
  <si>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</si>
  <si>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</si>
  <si>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</si>
  <si>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</si>
  <si>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</si>
  <si>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</si>
  <si>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</si>
  <si>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</si>
  <si>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</si>
  <si>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</si>
  <si>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</si>
  <si>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</si>
  <si>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</si>
  <si>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</si>
  <si>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</si>
  <si>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</si>
  <si>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</si>
  <si>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</si>
  <si>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</si>
  <si>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</si>
  <si>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</si>
  <si>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</si>
  <si>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</si>
  <si>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</si>
  <si>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</si>
  <si>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</si>
  <si>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</si>
  <si>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</si>
  <si>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</si>
  <si>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</si>
  <si>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</si>
  <si>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</si>
  <si>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</si>
  <si>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</si>
  <si>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</si>
  <si>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</si>
  <si>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</si>
  <si>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</si>
  <si>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</si>
  <si>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</si>
  <si>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</si>
  <si>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</si>
  <si>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</si>
  <si>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</si>
  <si>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</si>
  <si>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</si>
  <si>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</si>
  <si>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</si>
  <si>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</si>
  <si>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</si>
  <si>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</si>
  <si>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</si>
  <si>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</si>
  <si>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</si>
  <si>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</si>
  <si>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</si>
  <si>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</si>
  <si>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</si>
  <si>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</si>
  <si>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</si>
  <si>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</si>
  <si>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</si>
  <si>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</si>
  <si>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</si>
  <si>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</si>
  <si>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</si>
  <si>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</si>
  <si>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</si>
  <si>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</si>
  <si>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</si>
  <si>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</si>
  <si>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</si>
  <si>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</si>
  <si>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</si>
  <si>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</si>
  <si>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</si>
  <si>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</si>
  <si>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</si>
  <si>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</si>
  <si>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</si>
  <si>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</si>
  <si>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</si>
  <si>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</si>
  <si>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</si>
  <si>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</si>
  <si>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</si>
  <si>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</si>
  <si>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</si>
  <si>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</si>
  <si>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</si>
  <si>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</si>
  <si>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</si>
  <si>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</si>
  <si>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</si>
  <si>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</si>
  <si>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</si>
  <si>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</si>
  <si>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</si>
  <si>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</si>
  <si>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</si>
  <si>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</si>
  <si>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</si>
  <si>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</si>
  <si>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</si>
  <si>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</si>
  <si>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</si>
  <si>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</si>
  <si>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</si>
  <si>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</si>
  <si>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</si>
  <si>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</si>
  <si>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</si>
  <si>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</si>
  <si>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</si>
  <si>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</si>
  <si>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</si>
  <si>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</si>
  <si>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</si>
  <si>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</si>
  <si>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</si>
  <si>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</si>
  <si>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</si>
  <si>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</si>
  <si>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</si>
  <si>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</si>
  <si>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</si>
  <si>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</si>
  <si>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</si>
  <si>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</si>
  <si>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</si>
  <si>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</si>
  <si>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</si>
  <si>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</si>
  <si>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</si>
  <si>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</si>
  <si>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</si>
  <si>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</si>
  <si>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</si>
  <si>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</si>
  <si>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</si>
  <si>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</si>
  <si>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</si>
  <si>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</si>
  <si>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</si>
  <si>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</si>
  <si>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</si>
  <si>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</si>
  <si>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</si>
  <si>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</si>
  <si>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</si>
  <si>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</si>
  <si>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</si>
  <si>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</si>
  <si>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</si>
  <si>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</si>
  <si>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</si>
  <si>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</si>
  <si>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</si>
  <si>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</si>
  <si>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</si>
  <si>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</si>
  <si>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</si>
  <si>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</si>
  <si>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</si>
  <si>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</si>
  <si>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</si>
  <si>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</si>
  <si>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</si>
  <si>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</si>
  <si>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</si>
  <si>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</si>
  <si>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</si>
  <si>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</si>
  <si>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</si>
  <si>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</si>
  <si>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</si>
  <si>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</si>
  <si>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</si>
  <si>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</si>
  <si>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</si>
  <si>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</si>
  <si>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</si>
  <si>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</si>
  <si>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</si>
  <si>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</si>
  <si>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</si>
  <si>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</si>
  <si>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</si>
  <si>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</si>
  <si>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</si>
  <si>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</si>
  <si>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</si>
  <si>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</si>
  <si>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</si>
  <si>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</si>
  <si>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</si>
  <si>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</si>
  <si>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</si>
  <si>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</si>
  <si>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</si>
  <si>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</si>
  <si>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</si>
  <si>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</si>
  <si>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</si>
  <si>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</si>
  <si>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</si>
  <si>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</si>
  <si>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</si>
  <si>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</si>
  <si>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</si>
  <si>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</si>
  <si>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</si>
  <si>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</si>
  <si>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</si>
  <si>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</si>
  <si>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</si>
  <si>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</si>
  <si>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</si>
  <si>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</si>
  <si>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</si>
  <si>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</si>
  <si>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</si>
  <si>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</si>
  <si>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</si>
  <si>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</si>
  <si>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</si>
  <si>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</si>
  <si>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</si>
  <si>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</si>
  <si>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</si>
  <si>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</si>
  <si>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</si>
  <si>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</si>
  <si>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</si>
  <si>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</si>
  <si>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</si>
  <si>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</si>
  <si>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</si>
  <si>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</si>
  <si>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</si>
  <si>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</si>
  <si>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</si>
  <si>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</si>
  <si>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</si>
  <si>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</si>
  <si>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</si>
  <si>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</si>
  <si>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</si>
  <si>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</si>
  <si>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</si>
  <si>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</si>
  <si>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</si>
  <si>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</si>
  <si>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</si>
  <si>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</si>
  <si>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</si>
  <si>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</si>
  <si>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</si>
  <si>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</si>
  <si>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</si>
  <si>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</si>
  <si>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</si>
  <si>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</si>
  <si>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</si>
  <si>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</si>
  <si>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</si>
  <si>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</si>
  <si>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</si>
  <si>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</si>
  <si>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</si>
  <si>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</si>
  <si>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</si>
  <si>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</si>
  <si>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</si>
  <si>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</si>
  <si>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</si>
  <si>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</si>
  <si>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</si>
  <si>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</si>
  <si>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</si>
  <si>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</si>
  <si>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</si>
  <si>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</si>
  <si>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</si>
  <si>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</si>
  <si>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</si>
  <si>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</si>
  <si>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</si>
  <si>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</si>
  <si>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</si>
  <si>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</si>
  <si>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</si>
  <si>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</si>
  <si>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</si>
  <si>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</si>
  <si>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</si>
  <si>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</si>
  <si>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</si>
  <si>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</si>
  <si>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</si>
  <si>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</si>
  <si>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</si>
  <si>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</si>
  <si>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</si>
  <si>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</si>
  <si>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</si>
  <si>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</si>
  <si>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</si>
  <si>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</si>
  <si>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</si>
  <si>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</si>
  <si>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</si>
  <si>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</si>
  <si>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</si>
  <si>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</si>
  <si>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</si>
  <si>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</si>
  <si>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</si>
  <si>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</si>
  <si>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</si>
  <si>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</si>
  <si>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</si>
  <si>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</si>
  <si>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</si>
  <si>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</si>
  <si>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</si>
  <si>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</si>
  <si>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</si>
  <si>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</si>
  <si>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</si>
  <si>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</si>
  <si>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</si>
  <si>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</si>
  <si>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</si>
  <si>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</si>
  <si>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</si>
  <si>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</si>
  <si>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</si>
  <si>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</si>
  <si>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</si>
  <si>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</si>
  <si>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</si>
  <si>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</si>
  <si>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</si>
  <si>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</si>
  <si>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</si>
  <si>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</si>
  <si>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</si>
  <si>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</si>
  <si>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</si>
  <si>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</si>
  <si>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</si>
  <si>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</si>
  <si>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</si>
  <si>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</si>
  <si>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</si>
  <si>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</si>
  <si>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</si>
  <si>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</si>
  <si>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</si>
  <si>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</si>
  <si>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</si>
  <si>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</si>
  <si>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</si>
  <si>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</si>
  <si>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</si>
  <si>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</si>
  <si>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</si>
  <si>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</si>
  <si>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</si>
  <si>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</si>
  <si>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</si>
  <si>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</si>
  <si>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</si>
  <si>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</si>
  <si>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</si>
  <si>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</si>
  <si>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</si>
  <si>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</si>
  <si>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</si>
  <si>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</si>
  <si>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</si>
  <si>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</si>
  <si>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</si>
  <si>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</si>
  <si>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</si>
  <si>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</si>
  <si>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</si>
  <si>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</si>
  <si>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</si>
  <si>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</si>
  <si>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</si>
  <si>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</si>
  <si>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</si>
  <si>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</si>
  <si>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</si>
  <si>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</si>
  <si>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</si>
  <si>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</si>
  <si>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</si>
  <si>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</si>
  <si>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</si>
  <si>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</si>
  <si>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</si>
  <si>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</si>
  <si>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</si>
  <si>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</si>
  <si>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</si>
  <si>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</si>
  <si>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</si>
  <si>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</si>
  <si>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</si>
  <si>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</si>
  <si>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</si>
  <si>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</si>
  <si>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</si>
  <si>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</si>
  <si>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</si>
  <si>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</si>
  <si>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</si>
  <si>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</si>
  <si>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</si>
  <si>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</si>
  <si>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</si>
  <si>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</si>
  <si>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</si>
  <si>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</si>
  <si>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</si>
  <si>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</si>
  <si>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</si>
  <si>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</si>
  <si>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</si>
  <si>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</si>
  <si>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</si>
  <si>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</si>
  <si>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</si>
  <si>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</si>
  <si>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</si>
  <si>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</si>
  <si>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</si>
  <si>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</si>
  <si>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</si>
  <si>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</si>
  <si>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</si>
  <si>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</si>
  <si>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</si>
  <si>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</si>
  <si>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</si>
  <si>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</si>
  <si>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</si>
  <si>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</si>
  <si>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</si>
  <si>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</si>
  <si>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</si>
  <si>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</si>
  <si>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</si>
  <si>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</si>
  <si>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</si>
  <si>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</si>
  <si>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</si>
  <si>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</si>
  <si>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</si>
  <si>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</si>
  <si>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</si>
  <si>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</si>
  <si>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</si>
  <si>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</si>
  <si>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</si>
  <si>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</si>
  <si>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</si>
  <si>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</si>
  <si>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</si>
  <si>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</si>
  <si>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</si>
  <si>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</si>
  <si>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</si>
  <si>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</si>
  <si>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</si>
  <si>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</si>
  <si>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</si>
  <si>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</si>
  <si>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</si>
  <si>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</si>
  <si>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</si>
  <si>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</si>
  <si>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</si>
  <si>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</si>
  <si>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</si>
  <si>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</si>
  <si>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</si>
  <si>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</si>
  <si>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</si>
  <si>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</si>
  <si>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</si>
  <si>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</si>
  <si>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</si>
  <si>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</si>
  <si>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</si>
  <si>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</si>
  <si>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</si>
  <si>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</si>
  <si>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</si>
  <si>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</si>
  <si>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</si>
  <si>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</si>
  <si>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</si>
  <si>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</si>
  <si>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</si>
  <si>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</si>
  <si>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</si>
  <si>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</si>
  <si>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</si>
  <si>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</si>
  <si>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</si>
  <si>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</si>
  <si>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</si>
  <si>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</si>
  <si>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</si>
  <si>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</si>
  <si>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</si>
  <si>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</si>
  <si>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</si>
  <si>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</si>
  <si>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</si>
  <si>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</si>
  <si>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</si>
  <si>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</si>
  <si>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</si>
  <si>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</si>
  <si>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</si>
  <si>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</si>
  <si>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</si>
  <si>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</si>
  <si>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</si>
  <si>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</si>
  <si>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</si>
  <si>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</si>
  <si>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</si>
  <si>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</si>
  <si>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</si>
  <si>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</si>
  <si>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</si>
  <si>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</si>
  <si>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</si>
  <si>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</si>
  <si>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</si>
  <si>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</si>
  <si>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</si>
  <si>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</si>
  <si>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</si>
  <si>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</si>
  <si>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</si>
  <si>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</si>
  <si>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</si>
  <si>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</si>
  <si>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</si>
  <si>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</si>
  <si>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</si>
  <si>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</si>
  <si>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</si>
  <si>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</si>
  <si>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</si>
  <si>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</si>
  <si>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</si>
  <si>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</si>
  <si>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</si>
  <si>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</si>
  <si>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</si>
  <si>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</si>
  <si>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</si>
  <si>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</si>
  <si>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</si>
  <si>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</si>
  <si>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</si>
  <si>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</si>
  <si>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</si>
  <si>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</si>
  <si>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</si>
  <si>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</si>
  <si>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</si>
  <si>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</si>
  <si>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</si>
  <si>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</si>
  <si>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</si>
  <si>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</si>
  <si>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</si>
  <si>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</si>
  <si>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</si>
  <si>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</si>
  <si>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</si>
  <si>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</si>
  <si>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</si>
  <si>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</si>
  <si>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</si>
  <si>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</si>
  <si>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</si>
  <si>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</si>
  <si>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</si>
  <si>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</si>
  <si>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</si>
  <si>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</si>
  <si>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</si>
  <si>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</si>
  <si>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</si>
  <si>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</si>
  <si>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</si>
  <si>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</si>
  <si>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</si>
  <si>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</si>
  <si>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</si>
  <si>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</si>
  <si>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</si>
  <si>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</si>
  <si>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</si>
  <si>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</si>
  <si>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</si>
  <si>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</si>
  <si>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</si>
  <si>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</si>
  <si>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</si>
  <si>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</si>
  <si>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</si>
  <si>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</si>
  <si>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</si>
  <si>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</si>
  <si>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</si>
  <si>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</si>
  <si>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</si>
  <si>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</si>
  <si>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</si>
  <si>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</si>
  <si>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</si>
  <si>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</si>
  <si>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</si>
  <si>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</si>
  <si>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</si>
  <si>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</si>
  <si>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</si>
  <si>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</si>
  <si>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</si>
  <si>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</si>
  <si>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</si>
  <si>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</si>
  <si>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</si>
  <si>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</si>
  <si>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</si>
  <si>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</si>
  <si>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</si>
  <si>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</si>
  <si>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</si>
  <si>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</si>
  <si>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</si>
  <si>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</si>
  <si>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</si>
  <si>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</si>
  <si>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</si>
  <si>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</si>
  <si>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</si>
  <si>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</si>
  <si>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</si>
  <si>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</si>
  <si>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</si>
  <si>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</si>
  <si>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</si>
  <si>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</si>
  <si>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</si>
  <si>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</si>
  <si>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</si>
  <si>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</si>
  <si>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</si>
  <si>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</si>
  <si>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</si>
  <si>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</si>
  <si>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</si>
  <si>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</si>
  <si>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</si>
  <si>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</si>
  <si>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</si>
  <si>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</si>
  <si>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</si>
  <si>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</si>
  <si>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</si>
  <si>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</si>
  <si>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</si>
  <si>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</si>
  <si>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</si>
  <si>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</si>
  <si>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</si>
  <si>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</si>
  <si>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</si>
  <si>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</si>
  <si>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</si>
  <si>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</si>
  <si>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</si>
  <si>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</si>
  <si>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</si>
  <si>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</si>
  <si>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</si>
  <si>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</si>
  <si>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</si>
  <si>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</si>
  <si>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</si>
  <si>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</si>
  <si>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</si>
  <si>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</si>
  <si>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</si>
  <si>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</si>
  <si>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</si>
  <si>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</si>
  <si>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</si>
  <si>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</si>
  <si>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</si>
  <si>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</si>
  <si>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</si>
  <si>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</si>
  <si>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</si>
  <si>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</si>
  <si>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</si>
  <si>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</si>
  <si>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</si>
  <si>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</si>
  <si>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</si>
  <si>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</si>
  <si>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</si>
  <si>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</si>
  <si>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</si>
  <si>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</si>
  <si>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</si>
  <si>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</si>
  <si>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</si>
  <si>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</si>
  <si>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</si>
  <si>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</si>
  <si>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</si>
  <si>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</si>
  <si>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</si>
  <si>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</si>
  <si>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</si>
  <si>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</si>
  <si>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</si>
  <si>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</si>
  <si>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</si>
  <si>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</si>
  <si>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</si>
  <si>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</si>
  <si>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</si>
  <si>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</si>
  <si>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</si>
  <si>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</si>
  <si>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</si>
  <si>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</si>
  <si>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</si>
  <si>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</si>
  <si>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</si>
  <si>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</si>
  <si>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</si>
  <si>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</si>
  <si>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</si>
  <si>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</si>
  <si>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</si>
  <si>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</si>
  <si>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</si>
  <si>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</si>
  <si>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</si>
  <si>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</si>
  <si>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</si>
  <si>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</si>
  <si>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</si>
  <si>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</si>
  <si>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</si>
  <si>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</si>
  <si>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</si>
  <si>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</si>
  <si>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</si>
  <si>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</si>
  <si>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</si>
  <si>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</si>
  <si>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</si>
  <si>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</si>
  <si>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</si>
  <si>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</si>
  <si>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</si>
  <si>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</si>
  <si>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</si>
  <si>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</si>
  <si>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</si>
  <si>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</si>
  <si>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</si>
  <si>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</si>
  <si>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</si>
  <si>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</si>
  <si>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</si>
  <si>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</si>
  <si>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</si>
  <si>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</si>
  <si>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</si>
  <si>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</si>
  <si>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</si>
  <si>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</si>
  <si>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</si>
  <si>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</si>
  <si>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</si>
  <si>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</si>
  <si>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</si>
  <si>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</si>
  <si>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</si>
  <si>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</si>
  <si>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</si>
  <si>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</si>
  <si>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</si>
  <si>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</si>
  <si>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</si>
  <si>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</si>
  <si>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</si>
  <si>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</si>
  <si>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</si>
  <si>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</si>
  <si>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</si>
  <si>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</si>
  <si>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</si>
  <si>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</si>
  <si>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</si>
  <si>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</si>
  <si>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</si>
  <si>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</si>
  <si>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</si>
  <si>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</si>
  <si>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</si>
  <si>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</si>
  <si>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</si>
  <si>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</si>
  <si>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</si>
  <si>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</si>
  <si>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</si>
  <si>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</si>
  <si>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</si>
  <si>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</si>
  <si>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</si>
  <si>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</si>
  <si>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</si>
  <si>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</si>
  <si>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</si>
  <si>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</si>
  <si>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</si>
  <si>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</si>
  <si>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</si>
  <si>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</si>
  <si>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</si>
  <si>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</si>
  <si>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</si>
  <si>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</si>
  <si>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</si>
  <si>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</si>
  <si>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</si>
  <si>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</si>
  <si>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</si>
  <si>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</si>
  <si>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</si>
  <si>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</si>
  <si>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</si>
  <si>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</si>
  <si>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</si>
  <si>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</si>
  <si>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</si>
  <si>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</si>
  <si>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</si>
  <si>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</si>
  <si>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</si>
  <si>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</si>
  <si>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</si>
  <si>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</si>
  <si>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</si>
  <si>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</si>
  <si>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</si>
  <si>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</si>
  <si>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</si>
  <si>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</si>
  <si>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</si>
  <si>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</si>
  <si>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</si>
  <si>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</si>
  <si>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</si>
  <si>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</si>
  <si>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</si>
  <si>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</si>
  <si>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</si>
  <si>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</si>
  <si>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</si>
  <si>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</si>
  <si>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</si>
  <si>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</si>
  <si>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</si>
  <si>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</si>
  <si>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</si>
  <si>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</si>
  <si>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</si>
  <si>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</si>
  <si>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</si>
  <si>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</si>
  <si>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</si>
  <si>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</si>
  <si>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</si>
  <si>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</si>
  <si>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</si>
  <si>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</si>
  <si>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</si>
  <si>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</si>
  <si>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</si>
  <si>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</si>
  <si>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</si>
  <si>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</si>
  <si>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</si>
  <si>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</si>
  <si>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</si>
  <si>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</si>
  <si>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</si>
  <si>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</si>
  <si>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</si>
  <si>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</si>
  <si>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</si>
  <si>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</si>
  <si>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</si>
  <si>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</si>
  <si>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</si>
  <si>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</si>
  <si>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</si>
  <si>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</si>
  <si>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</si>
  <si>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</si>
  <si>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</si>
  <si>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</si>
  <si>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</si>
  <si>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</si>
  <si>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</si>
  <si>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</si>
  <si>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</si>
  <si>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</si>
  <si>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</si>
  <si>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</si>
  <si>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</si>
  <si>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</si>
  <si>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</si>
  <si>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</si>
  <si>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</si>
  <si>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</si>
  <si>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</si>
  <si>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</si>
  <si>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</si>
  <si>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</si>
  <si>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</si>
  <si>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</si>
  <si>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</si>
  <si>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</si>
  <si>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</si>
  <si>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</si>
  <si>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</si>
  <si>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</si>
  <si>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</si>
  <si>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</si>
  <si>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</si>
  <si>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</si>
  <si>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</si>
  <si>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</si>
  <si>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</si>
  <si>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</si>
  <si>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</si>
  <si>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</si>
  <si>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</si>
  <si>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</si>
  <si>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</si>
  <si>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</si>
  <si>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</si>
  <si>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</si>
  <si>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</si>
  <si>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</si>
  <si>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</si>
  <si>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</si>
  <si>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</si>
  <si>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</si>
  <si>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</si>
  <si>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</si>
  <si>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</si>
  <si>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</si>
  <si>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</si>
  <si>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</si>
  <si>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</si>
  <si>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</si>
  <si>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</si>
  <si>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</si>
  <si>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</si>
  <si>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</si>
  <si>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</si>
  <si>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</si>
  <si>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</si>
  <si>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</si>
  <si>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</si>
  <si>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</si>
  <si>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</si>
  <si>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</si>
  <si>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</si>
  <si>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</si>
  <si>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</si>
  <si>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</si>
  <si>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</si>
  <si>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</si>
  <si>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</si>
  <si>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</si>
  <si>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</si>
  <si>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</si>
  <si>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</si>
  <si>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</si>
  <si>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</si>
  <si>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</si>
  <si>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</si>
  <si>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</si>
  <si>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</si>
  <si>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</si>
  <si>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</si>
  <si>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</si>
  <si>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</si>
  <si>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</si>
  <si>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</si>
  <si>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</si>
  <si>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</si>
  <si>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</si>
  <si>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</si>
  <si>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</si>
  <si>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</si>
  <si>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</si>
  <si>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</si>
  <si>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</si>
  <si>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</si>
  <si>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</si>
  <si>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</si>
  <si>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</si>
  <si>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</si>
  <si>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</si>
  <si>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</si>
  <si>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</si>
  <si>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</si>
  <si>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</si>
  <si>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</si>
  <si>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</si>
  <si>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</si>
  <si>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</si>
  <si>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</si>
  <si>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</si>
  <si>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</si>
  <si>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</si>
  <si>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</si>
  <si>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</si>
  <si>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</si>
  <si>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</si>
  <si>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</si>
  <si>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</si>
  <si>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</si>
  <si>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</si>
  <si>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</si>
  <si>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</si>
  <si>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</si>
  <si>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</si>
  <si>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</si>
  <si>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</si>
  <si>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</si>
  <si>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</si>
  <si>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</si>
  <si>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</si>
  <si>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</si>
  <si>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</si>
  <si>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</si>
  <si>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</si>
  <si>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</si>
  <si>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</si>
  <si>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</si>
  <si>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</si>
  <si>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</si>
  <si>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</si>
  <si>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</si>
  <si>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</si>
  <si>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</si>
  <si>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</si>
  <si>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</si>
  <si>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</si>
  <si>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</si>
  <si>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</si>
  <si>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</si>
  <si>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</si>
  <si>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</si>
  <si>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</si>
  <si>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</si>
  <si>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</si>
  <si>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</si>
  <si>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</si>
  <si>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</si>
  <si>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</si>
  <si>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</si>
  <si>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</si>
  <si>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</si>
  <si>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</si>
  <si>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</si>
  <si>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</si>
  <si>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</si>
  <si>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</si>
  <si>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</si>
  <si>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</si>
  <si>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</si>
  <si>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</si>
  <si>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</si>
  <si>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</si>
  <si>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</si>
  <si>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</si>
  <si>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</si>
  <si>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</si>
  <si>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</si>
  <si>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</si>
  <si>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</si>
  <si>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</si>
  <si>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</si>
  <si>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</si>
  <si>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</si>
  <si>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</si>
  <si>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</si>
  <si>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</si>
  <si>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</si>
  <si>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</si>
  <si>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</si>
  <si>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</si>
  <si>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</si>
  <si>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</si>
  <si>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</si>
  <si>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</si>
  <si>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</si>
  <si>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</si>
  <si>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</si>
  <si>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</si>
  <si>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</si>
  <si>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</si>
  <si>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</si>
  <si>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</si>
  <si>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</si>
  <si>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</si>
  <si>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</si>
  <si>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</si>
  <si>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</si>
  <si>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</si>
  <si>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</si>
  <si>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</si>
  <si>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</si>
  <si>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</si>
  <si>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</si>
  <si>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</si>
  <si>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</si>
  <si>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</si>
  <si>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</si>
  <si>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</si>
  <si>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</si>
  <si>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</si>
  <si>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</si>
  <si>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</si>
  <si>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</si>
  <si>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</si>
  <si>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</si>
  <si>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</si>
  <si>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</si>
  <si>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</si>
  <si>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</si>
  <si>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</si>
  <si>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</si>
  <si>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</si>
  <si>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</si>
  <si>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</si>
  <si>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</si>
  <si>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</si>
  <si>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</si>
  <si>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</si>
  <si>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</si>
  <si>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</si>
  <si>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</si>
  <si>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</si>
  <si>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</si>
  <si>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</si>
  <si>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</si>
  <si>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</si>
  <si>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</si>
  <si>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</si>
  <si>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</si>
  <si>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</si>
  <si>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</si>
  <si>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</si>
  <si>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</si>
  <si>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</si>
  <si>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</si>
  <si>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</si>
  <si>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</si>
  <si>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</si>
  <si>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</si>
  <si>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</si>
  <si>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</si>
  <si>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</si>
  <si>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</si>
  <si>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</si>
  <si>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</si>
  <si>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</si>
  <si>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</si>
  <si>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</si>
  <si>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</si>
  <si>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</si>
  <si>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</si>
  <si>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</si>
  <si>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</si>
  <si>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</si>
  <si>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</si>
  <si>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</si>
  <si>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</si>
  <si>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</si>
  <si>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</si>
  <si>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</si>
  <si>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</si>
  <si>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</si>
  <si>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</si>
  <si>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</si>
  <si>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</si>
  <si>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</si>
  <si>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</si>
  <si>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</si>
  <si>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</si>
  <si>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</si>
  <si>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</si>
  <si>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</si>
  <si>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</si>
  <si>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</si>
  <si>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</si>
  <si>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</si>
  <si>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</si>
  <si>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</si>
  <si>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</si>
  <si>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</si>
  <si>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</si>
  <si>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</si>
  <si>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</si>
  <si>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</si>
  <si>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</si>
  <si>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</si>
  <si>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</si>
  <si>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</si>
  <si>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</si>
  <si>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</si>
  <si>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</si>
  <si>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</si>
  <si>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</si>
  <si>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</si>
  <si>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</si>
  <si>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</si>
  <si>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</si>
  <si>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</si>
  <si>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</si>
  <si>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</si>
  <si>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</si>
  <si>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</si>
  <si>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</si>
  <si>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</si>
  <si>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</si>
  <si>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</si>
  <si>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</si>
  <si>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</si>
  <si>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</si>
  <si>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</si>
  <si>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</si>
  <si>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</si>
  <si>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</si>
  <si>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</si>
  <si>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</si>
  <si>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</si>
  <si>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</si>
  <si>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</si>
  <si>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</si>
  <si>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</si>
  <si>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</si>
  <si>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</si>
  <si>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</si>
  <si>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</si>
  <si>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</si>
  <si>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</si>
  <si>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</si>
  <si>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</si>
  <si>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</si>
  <si>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</si>
  <si>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</si>
  <si>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</si>
  <si>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</si>
  <si>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</si>
  <si>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</si>
  <si>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</si>
  <si>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</si>
  <si>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</si>
  <si>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</si>
  <si>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</si>
  <si>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</si>
  <si>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</si>
  <si>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</si>
  <si>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</si>
  <si>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</si>
  <si>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</si>
  <si>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</si>
  <si>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</si>
  <si>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</si>
  <si>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</si>
  <si>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</si>
  <si>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</si>
  <si>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</si>
  <si>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</si>
  <si>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</si>
  <si>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</si>
  <si>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</si>
  <si>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</si>
  <si>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</si>
  <si>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</si>
  <si>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</si>
  <si>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</si>
  <si>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</si>
  <si>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</si>
  <si>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</si>
  <si>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</si>
  <si>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</si>
  <si>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</si>
  <si>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</si>
  <si>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</si>
  <si>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</si>
  <si>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</si>
  <si>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</si>
  <si>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</si>
  <si>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</si>
  <si>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</si>
  <si>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</si>
  <si>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</si>
  <si>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</si>
  <si>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</si>
  <si>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</si>
  <si>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</si>
  <si>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</si>
  <si>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</si>
  <si>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</si>
  <si>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</si>
  <si>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</si>
  <si>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</si>
  <si>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</si>
  <si>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</si>
  <si>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</si>
  <si>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</si>
  <si>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</si>
  <si>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</si>
  <si>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</si>
  <si>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</si>
  <si>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</si>
  <si>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</si>
  <si>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</si>
  <si>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</si>
  <si>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</si>
  <si>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</si>
  <si>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</si>
  <si>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</si>
  <si>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</si>
  <si>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</si>
  <si>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</si>
  <si>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</si>
  <si>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</si>
  <si>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</si>
  <si>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</si>
  <si>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</si>
  <si>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</si>
  <si>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</si>
  <si>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</si>
  <si>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</si>
  <si>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</si>
  <si>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</si>
  <si>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</si>
  <si>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</si>
  <si>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</si>
  <si>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</si>
  <si>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</si>
  <si>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</si>
  <si>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</si>
  <si>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</si>
  <si>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</si>
  <si>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</si>
  <si>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</si>
  <si>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</si>
  <si>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</si>
  <si>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</si>
  <si>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</si>
  <si>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</si>
  <si>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</si>
  <si>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</si>
  <si>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</si>
  <si>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</si>
  <si>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</si>
  <si>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</si>
  <si>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</si>
  <si>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</si>
  <si>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</si>
  <si>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</si>
  <si>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</si>
  <si>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</si>
  <si>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</si>
  <si>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</si>
  <si>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</si>
  <si>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</si>
  <si>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</si>
  <si>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</si>
  <si>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</si>
  <si>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</si>
  <si>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</si>
  <si>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</si>
  <si>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</si>
  <si>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</si>
  <si>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</si>
  <si>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</si>
  <si>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</si>
  <si>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</si>
  <si>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</si>
  <si>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</si>
  <si>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</si>
  <si>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</si>
  <si>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</si>
  <si>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</si>
  <si>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</si>
  <si>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</si>
  <si>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</si>
  <si>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</si>
  <si>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</si>
  <si>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</si>
  <si>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</si>
  <si>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</si>
  <si>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</si>
  <si>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</si>
  <si>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</si>
  <si>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</si>
  <si>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</si>
  <si>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</si>
  <si>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</si>
  <si>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</si>
  <si>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</si>
  <si>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</si>
  <si>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</si>
  <si>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</si>
  <si>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</si>
  <si>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</si>
  <si>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</si>
  <si>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</si>
  <si>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</si>
  <si>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</si>
  <si>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</si>
  <si>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</si>
  <si>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</si>
  <si>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</si>
  <si>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</si>
  <si>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</si>
  <si>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</si>
  <si>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</si>
  <si>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</si>
  <si>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</si>
  <si>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</si>
  <si>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</si>
  <si>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</si>
  <si>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</si>
  <si>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</si>
  <si>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</si>
  <si>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</si>
  <si>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</si>
  <si>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</si>
  <si>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</si>
  <si>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</si>
  <si>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</si>
  <si>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</si>
  <si>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</si>
  <si>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</si>
  <si>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</si>
  <si>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</si>
  <si>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</si>
  <si>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</si>
  <si>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</si>
  <si>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</si>
  <si>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</si>
  <si>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</si>
  <si>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</si>
  <si>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</si>
  <si>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</si>
  <si>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</si>
  <si>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</si>
  <si>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</si>
  <si>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</si>
  <si>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</si>
  <si>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</si>
  <si>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</si>
  <si>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</si>
  <si>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</si>
  <si>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</si>
  <si>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</si>
  <si>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</si>
  <si>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</si>
  <si>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</si>
  <si>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</si>
  <si>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</si>
  <si>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</si>
  <si>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</si>
  <si>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</si>
  <si>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</si>
  <si>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</si>
  <si>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</si>
  <si>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</si>
  <si>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</si>
  <si>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</si>
  <si>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</si>
  <si>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</si>
  <si>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</si>
  <si>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</si>
  <si>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</si>
  <si>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</si>
  <si>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</si>
  <si>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</si>
  <si>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</si>
  <si>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</si>
  <si>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</si>
  <si>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</si>
  <si>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</si>
  <si>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</si>
  <si>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</si>
  <si>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</si>
  <si>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</si>
  <si>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</si>
  <si>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</si>
  <si>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</si>
  <si>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</si>
  <si>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</si>
  <si>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</si>
  <si>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</si>
  <si>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</si>
  <si>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</si>
  <si>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</si>
  <si>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</si>
  <si>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</si>
  <si>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</si>
  <si>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</si>
  <si>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</si>
  <si>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</si>
  <si>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</si>
  <si>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</si>
  <si>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</si>
  <si>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</si>
  <si>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</si>
  <si>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</si>
  <si>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</si>
  <si>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</si>
  <si>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</si>
  <si>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</si>
  <si>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</si>
  <si>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</si>
  <si>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</si>
  <si>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</si>
  <si>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</si>
  <si>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</si>
  <si>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</si>
  <si>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</si>
  <si>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</si>
  <si>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</si>
  <si>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</si>
  <si>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</si>
  <si>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</si>
  <si>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</si>
  <si>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</si>
  <si>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</si>
  <si>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</si>
  <si>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</si>
  <si>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</si>
  <si>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</si>
  <si>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</si>
  <si>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</si>
  <si>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</si>
  <si>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</si>
  <si>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</si>
  <si>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</si>
  <si>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</si>
  <si>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</si>
  <si>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</si>
  <si>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</si>
  <si>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</si>
  <si>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</si>
  <si>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</si>
  <si>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</si>
  <si>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</si>
  <si>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</si>
  <si>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</si>
  <si>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</si>
  <si>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</si>
  <si>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</si>
  <si>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</si>
  <si>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</si>
  <si>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</si>
  <si>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</si>
  <si>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</si>
  <si>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</si>
  <si>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</si>
  <si>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</si>
  <si>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</si>
  <si>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</si>
  <si>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</si>
  <si>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</si>
  <si>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</si>
  <si>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</si>
  <si>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</si>
  <si>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</si>
  <si>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</si>
  <si>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</si>
  <si>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</si>
  <si>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</si>
  <si>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</si>
  <si>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</si>
  <si>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</si>
  <si>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</si>
  <si>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</si>
  <si>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</si>
  <si>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</si>
  <si>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</si>
  <si>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</si>
  <si>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</si>
  <si>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</si>
  <si>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</si>
  <si>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</si>
  <si>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</si>
  <si>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</si>
  <si>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</si>
  <si>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</si>
  <si>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</si>
  <si>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</si>
  <si>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</si>
  <si>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</si>
  <si>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</si>
  <si>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</si>
  <si>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</si>
  <si>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</si>
  <si>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</si>
  <si>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</si>
  <si>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</si>
  <si>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</si>
  <si>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</si>
  <si>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</si>
  <si>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</si>
  <si>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</si>
  <si>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</si>
  <si>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</si>
  <si>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</si>
  <si>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</si>
  <si>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</si>
  <si>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</si>
  <si>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</si>
  <si>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</si>
  <si>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</si>
  <si>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</si>
  <si>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</si>
  <si>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</si>
  <si>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</si>
  <si>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</si>
  <si>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</si>
  <si>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</si>
  <si>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</si>
  <si>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</si>
  <si>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</si>
  <si>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</si>
  <si>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</si>
  <si>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</si>
  <si>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</si>
  <si>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</si>
  <si>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</si>
  <si>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</si>
  <si>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</si>
  <si>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</si>
  <si>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</si>
  <si>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</si>
  <si>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</si>
  <si>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</si>
  <si>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</si>
  <si>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</si>
  <si>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</si>
  <si>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</si>
  <si>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</si>
  <si>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</si>
  <si>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</si>
  <si>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</si>
  <si>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</si>
  <si>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</si>
  <si>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</si>
  <si>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</si>
  <si>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</si>
  <si>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</si>
  <si>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</si>
  <si>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</si>
  <si>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</si>
  <si>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</si>
  <si>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</si>
  <si>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</si>
  <si>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</si>
  <si>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</si>
  <si>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</si>
  <si>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</si>
  <si>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</si>
  <si>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</si>
  <si>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</si>
  <si>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</si>
  <si>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</si>
  <si>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</si>
  <si>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</si>
  <si>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</si>
  <si>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</si>
  <si>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</si>
  <si>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</si>
  <si>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</si>
  <si>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</si>
  <si>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</si>
  <si>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</si>
  <si>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</si>
  <si>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</si>
  <si>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</si>
  <si>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</si>
  <si>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</si>
  <si>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</si>
  <si>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</si>
  <si>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</si>
  <si>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</si>
  <si>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</si>
  <si>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</si>
  <si>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</si>
  <si>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</si>
  <si>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</si>
  <si>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</si>
  <si>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</si>
  <si>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</si>
  <si>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</si>
  <si>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</si>
  <si>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</si>
  <si>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</si>
  <si>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</si>
  <si>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</si>
  <si>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</si>
  <si>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</si>
  <si>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</si>
  <si>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</si>
  <si>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</si>
  <si>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</si>
  <si>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</si>
  <si>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</si>
  <si>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</si>
  <si>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</si>
  <si>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</si>
  <si>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</si>
  <si>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</si>
  <si>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</si>
  <si>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</si>
  <si>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</si>
  <si>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</si>
  <si>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</si>
  <si>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</si>
  <si>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</si>
  <si>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</si>
  <si>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</si>
  <si>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</si>
  <si>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</si>
  <si>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</si>
  <si>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</si>
  <si>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</si>
  <si>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</si>
  <si>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</si>
  <si>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</si>
  <si>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</si>
  <si>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</si>
  <si>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</si>
  <si>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</si>
  <si>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</si>
  <si>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</si>
  <si>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</si>
  <si>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</si>
  <si>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</si>
  <si>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</si>
  <si>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</si>
  <si>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</si>
  <si>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</si>
  <si>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</si>
  <si>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</si>
  <si>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</si>
  <si>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</si>
  <si>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</si>
  <si>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</si>
  <si>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</si>
  <si>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</si>
  <si>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</si>
  <si>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</si>
  <si>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</si>
  <si>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</si>
  <si>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</si>
  <si>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</si>
  <si>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</si>
  <si>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</si>
  <si>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</si>
  <si>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</si>
  <si>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</si>
  <si>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</si>
  <si>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</si>
  <si>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</si>
  <si>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</si>
  <si>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</si>
  <si>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</si>
  <si>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</si>
  <si>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</si>
  <si>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</si>
  <si>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</si>
  <si>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</si>
  <si>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</si>
  <si>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</si>
  <si>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</si>
  <si>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</si>
  <si>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</si>
  <si>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</si>
  <si>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</si>
  <si>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</si>
  <si>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</si>
  <si>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</si>
  <si>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</si>
  <si>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</si>
  <si>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</si>
  <si>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</si>
  <si>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</si>
  <si>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</si>
  <si>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</si>
  <si>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</si>
  <si>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</si>
  <si>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</si>
  <si>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</si>
  <si>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</si>
  <si>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</si>
  <si>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</si>
  <si>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</si>
  <si>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</si>
  <si>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</si>
  <si>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</si>
  <si>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</si>
  <si>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</si>
  <si>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</si>
  <si>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</si>
  <si>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</si>
  <si>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</si>
  <si>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</si>
  <si>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</si>
  <si>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</si>
  <si>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</si>
  <si>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</si>
  <si>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</si>
  <si>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</si>
  <si>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</si>
  <si>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</si>
  <si>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</si>
  <si>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</si>
  <si>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</si>
  <si>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</si>
  <si>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</si>
  <si>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</si>
  <si>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</si>
  <si>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</si>
  <si>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</si>
  <si>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</si>
  <si>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</si>
  <si>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</si>
  <si>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</si>
  <si>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</si>
  <si>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</si>
  <si>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</si>
  <si>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</si>
  <si>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</si>
  <si>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</si>
  <si>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</si>
  <si>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</si>
  <si>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</si>
  <si>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</si>
  <si>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</si>
  <si>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</si>
  <si>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</si>
  <si>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</si>
  <si>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</si>
  <si>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</si>
  <si>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</si>
  <si>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</si>
  <si>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</si>
  <si>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</si>
  <si>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</si>
  <si>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</si>
  <si>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</si>
  <si>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</si>
  <si>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</si>
  <si>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</si>
  <si>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</si>
  <si>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</si>
  <si>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</si>
  <si>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</si>
  <si>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</si>
  <si>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</si>
  <si>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</si>
  <si>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</si>
  <si>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</si>
  <si>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</si>
  <si>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</si>
  <si>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</si>
  <si>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</si>
  <si>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</si>
  <si>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</si>
  <si>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</si>
  <si>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</si>
  <si>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</si>
  <si>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</si>
  <si>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</si>
  <si>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</si>
  <si>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</si>
  <si>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</si>
  <si>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</si>
  <si>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</si>
  <si>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</si>
  <si>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</si>
  <si>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</si>
  <si>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</si>
  <si>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</si>
  <si>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</si>
  <si>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</si>
  <si>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</si>
  <si>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</si>
  <si>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</si>
  <si>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</si>
  <si>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</si>
  <si>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</si>
  <si>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</si>
  <si>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</si>
  <si>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</si>
  <si>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</si>
  <si>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</si>
  <si>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</si>
  <si>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</si>
  <si>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</si>
  <si>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</si>
  <si>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</si>
  <si>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</si>
  <si>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</si>
  <si>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</si>
  <si>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</si>
  <si>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</si>
  <si>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</si>
  <si>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</si>
  <si>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</si>
  <si>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</si>
  <si>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</si>
  <si>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</si>
  <si>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</si>
  <si>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</si>
  <si>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</si>
  <si>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</si>
  <si>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</si>
  <si>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</si>
  <si>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</si>
  <si>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</si>
  <si>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</si>
  <si>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</si>
  <si>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</si>
  <si>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</si>
  <si>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</si>
  <si>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</si>
  <si>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</si>
  <si>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</si>
  <si>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</si>
  <si>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</si>
  <si>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</si>
  <si>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</si>
  <si>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</si>
  <si>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</si>
  <si>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</si>
  <si>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</si>
  <si>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</si>
  <si>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</si>
  <si>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</si>
  <si>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</si>
  <si>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</si>
  <si>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</si>
  <si>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</si>
  <si>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</si>
  <si>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</si>
  <si>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</si>
  <si>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</si>
  <si>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</si>
  <si>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</si>
  <si>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</si>
  <si>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</si>
  <si>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</si>
  <si>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</si>
  <si>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</si>
  <si>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</si>
  <si>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</si>
  <si>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</si>
  <si>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</si>
  <si>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</si>
  <si>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</si>
  <si>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</si>
  <si>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</si>
  <si>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</si>
  <si>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</si>
  <si>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</si>
  <si>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</si>
  <si>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</si>
  <si>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</si>
  <si>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</si>
  <si>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</si>
  <si>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</si>
  <si>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</si>
  <si>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</si>
  <si>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</si>
  <si>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</si>
  <si>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</si>
  <si>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</si>
  <si>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</si>
  <si>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</si>
  <si>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</si>
  <si>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</si>
  <si>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</si>
  <si>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</si>
  <si>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</si>
  <si>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</si>
  <si>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</si>
  <si>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</si>
  <si>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</si>
  <si>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</si>
  <si>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</si>
  <si>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</si>
  <si>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</si>
  <si>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</si>
  <si>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</si>
  <si>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</si>
  <si>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</si>
  <si>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</si>
  <si>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</si>
  <si>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</si>
  <si>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</si>
  <si>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</si>
  <si>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</si>
  <si>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</si>
  <si>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</si>
  <si>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</si>
  <si>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</si>
  <si>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</si>
  <si>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</si>
  <si>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</si>
  <si>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</si>
  <si>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</si>
  <si>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</si>
  <si>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</si>
  <si>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</si>
  <si>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</si>
  <si>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</si>
  <si>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</si>
  <si>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</si>
  <si>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</si>
  <si>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</si>
  <si>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</si>
  <si>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</si>
  <si>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</si>
  <si>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</si>
  <si>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</si>
  <si>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</si>
  <si>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</si>
  <si>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</si>
  <si>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</si>
  <si>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</si>
  <si>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</si>
  <si>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</si>
  <si>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</si>
  <si>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</si>
  <si>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</si>
  <si>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41-139-2020-HUI</t>
  </si>
  <si>
    <t>41-143-2020-HUI</t>
  </si>
  <si>
    <t>41-144-2020-HUI</t>
  </si>
  <si>
    <t>41-145-2020-HUI</t>
  </si>
  <si>
    <t>41-146-2020-HUI</t>
  </si>
  <si>
    <t>41-152-2020-HUI</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</si>
  <si>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</si>
  <si>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y Desarrollo Infantil en Medio Familiar -DIMF-, de conformidad con el Manual Operativo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</si>
  <si>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</si>
  <si>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41-112548-2020-HUI</t>
  </si>
  <si>
    <t>41-112549-2020-HUI</t>
  </si>
  <si>
    <t>41-112550-2020-HUI</t>
  </si>
  <si>
    <t xml:space="preserve">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t>
  </si>
  <si>
    <t xml:space="preserve">BELEN RAMIREZ VARGAS </t>
  </si>
  <si>
    <t>CALLE 8 N°10-24 BARRIO ALTICO</t>
  </si>
  <si>
    <t>8713720</t>
  </si>
  <si>
    <t>fundacionsocialamoryvida@gmail.com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</si>
  <si>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</si>
  <si>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INSTITUTO COLOMBIANO  DE BIENESTAR FAMILIAR</t>
  </si>
  <si>
    <t>2021-41-10001149</t>
  </si>
  <si>
    <r>
      <t>BRINDAR ATENCIÓN A LA PRIMERA INFANCIA, NIÑOS, MENORES DE CINCO AÑOS, DE FAMILIAS EN SITUACIÓN DE VULNERABILIDAD A TRAVÉS DE LOS HOGARES COMUNITARIOS DE BIENESTAR EN LAS SIGUIENTES FORMAS DE ATENCIÓN: FAMILIARES, GRUPALES Y MODALIDAD FAMI DE CONFORMIDAD CON LOS LINEAMIENTOS ESTÁNDARES Y DIRECTRICES DEL ICBF</t>
    </r>
    <r>
      <rPr>
        <sz val="8"/>
        <color theme="1"/>
        <rFont val="Tahoma"/>
        <family val="2"/>
      </rPr>
      <t> </t>
    </r>
  </si>
  <si>
    <r>
      <t>ATENDER A LA PRIMERA INFANCIA, EN EL MARCO DE LA ESTRATEGIA “DE CERO A SIEMPRE”, ESPECÍFICAMENTE A LOS NIÑOS Y NIÑAS MENORES DE CINCO (5) AÑOS, DE FAMILIAS EN SITUACIÓN DE VULNERABILIDAD DE CONFORMIDAD CON LAS DIRECTRICES, LINEAMIENTOS Y PARÁMETROS ESTABLECIDOS POR EL ICBF, ASI COMO REGULAS LAS RELACIONES ENTRE LAS PARTES DERIVADA DE LA ENTREGA DE APORTES DEL ICBF A LA ENTIDAD ADMINISTRADORA DEL SERVICIO EN LA MODALIDAD DE HOGARES COMUNITARIOS DE BIENESTAR EN LAS SIGUIENTES FORMAS DE ATENCIÓN: FAMILIARES, MÚLTIPLES, GRUPALES, EMPRESARIALES, JARDINES SOCIALES Y EN LA MODALIDAD FAMI.</t>
    </r>
    <r>
      <rPr>
        <sz val="8"/>
        <color theme="1"/>
        <rFont val="Tahoma"/>
        <family val="2"/>
      </rPr>
      <t> </t>
    </r>
  </si>
  <si>
    <r>
      <t>PRESTAR EL SERVICIO DE ATENCION, EDUCACIÓN INICIAL Y CUIDADO A NIÑAS Y NIÑOS MENORES DE 5 AÑOS, O HASTA SU INGRESO AL GRADO DE TRANSICIÓN, Y A MUJERES GESTANTES O EN PERIODO DE LACTANCIA  CON EL FIN DE PROMOVER EL DESARROLLO INTEGRAL DE LA PRIMERA INFANCIA CON CALIDAD, DE CONFORMIDAD CON LOS LINEAMIENTOS, MANUAL OPERATIVO, LAS DIRECTRICES, PARAMETROS Y ESTANDARES ESTABLECIDOS POR EL ICBF, EN EL MARCO DE LA ESTRATEGIA “DE CERO A SIEMPRE”</t>
    </r>
    <r>
      <rPr>
        <sz val="8"/>
        <color theme="1"/>
        <rFont val="Tahoma"/>
        <family val="2"/>
      </rPr>
      <t> </t>
    </r>
  </si>
  <si>
    <r>
      <t>ATENDER A LA PRIMERA INFANCIA EN EL MARCO DE LA ESTRATEGIA “DE CERO A SIEMPRE” ESPECIFICAMENTE A LOS NIÑOS Y NIÑAS MENORES DE CINCO (5)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r>
    <r>
      <rPr>
        <sz val="8"/>
        <color theme="1"/>
        <rFont val="Tahoma"/>
        <family val="2"/>
      </rPr>
      <t> </t>
    </r>
  </si>
  <si>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</si>
  <si>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PRESTAR EL SERVICIO DE ATENCION A NIÑOS Y NIÑAS MENORES DE 5 AÑOS, O HASTA SU INGRESO AL GRADO DE TRANSICION, MUJERES GESTANTES Y MUJERES EN PERIODO DE LACTANCIA, CON EL FIN DE PROVOMER EL DESARROLLO INTEGRAL DE LA PRIMERA INFANCIA CON CALIDAD, DE CONFORMIDAD CON EL LINEAMIENTO, EL MANUAL OPERATIVO Y LAS DIRECTRICES ESTABLECIDAS POR EL ICBF, EN EL MARCO DE LA POLITICA DEL ESTADO PARA EL DESARROLLO INTEGRAL DE LA PRIMERA INFANCIA "DE CERO A SIEMPRE", EN EL SERVICIO DE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</si>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</sst>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dd/mm/yyyy;@"/>
    <numFmt numFmtId="172" formatCode="0_ ;\-0\ "/>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Tahoma"/>
      <family val="2"/>
    </font>
    <font>
      <sz val="8"/>
      <color theme="1"/>
      <name val="Tahoma"/>
      <family val="2"/>
    </font>
    <font>
      <sz val="10"/>
      <color theme="1"/>
      <name val="Tahoma"/>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0" xfId="0" applyFont="1" applyFill="1" applyAlignment="1" applyProtection="1">
      <alignment vertical="center"/>
      <protection locked="0" hidden="1"/>
    </xf>
    <xf numFmtId="0" fontId="31" fillId="3" borderId="34" xfId="0" applyFont="1" applyFill="1" applyBorder="1" applyAlignment="1" applyProtection="1">
      <alignment horizontal="center" vertical="center" wrapText="1"/>
      <protection locked="0"/>
    </xf>
    <xf numFmtId="171" fontId="31" fillId="3" borderId="34" xfId="0" applyNumberFormat="1" applyFont="1" applyFill="1" applyBorder="1" applyAlignment="1" applyProtection="1">
      <alignment horizontal="center" vertical="center" wrapText="1"/>
      <protection locked="0"/>
    </xf>
    <xf numFmtId="0" fontId="31" fillId="3" borderId="34" xfId="0" applyNumberFormat="1" applyFont="1" applyFill="1" applyBorder="1" applyAlignment="1" applyProtection="1">
      <alignment horizontal="center" vertical="center" wrapText="1"/>
      <protection locked="0"/>
    </xf>
    <xf numFmtId="0" fontId="31" fillId="3" borderId="39" xfId="0" applyFont="1" applyFill="1" applyBorder="1" applyAlignment="1" applyProtection="1">
      <alignment horizontal="center" vertical="center" wrapText="1"/>
      <protection locked="0"/>
    </xf>
    <xf numFmtId="0" fontId="33" fillId="3" borderId="34" xfId="0" applyFont="1" applyFill="1" applyBorder="1" applyAlignment="1" applyProtection="1">
      <alignment horizontal="center" vertical="center"/>
      <protection locked="0"/>
    </xf>
    <xf numFmtId="171" fontId="31" fillId="3" borderId="39" xfId="0" applyNumberFormat="1" applyFont="1" applyFill="1" applyBorder="1" applyAlignment="1" applyProtection="1">
      <alignment horizontal="center" vertical="center" wrapText="1"/>
      <protection locked="0"/>
    </xf>
    <xf numFmtId="171" fontId="33" fillId="3" borderId="34" xfId="0" applyNumberFormat="1" applyFont="1" applyFill="1" applyBorder="1" applyAlignment="1" applyProtection="1">
      <alignment horizontal="center" vertical="center"/>
      <protection locked="0"/>
    </xf>
    <xf numFmtId="0" fontId="33" fillId="3" borderId="34" xfId="0"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172" fontId="3" fillId="3" borderId="40" xfId="1"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left" vertical="center"/>
      <protection locked="0"/>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170" zoomScale="80" zoomScaleNormal="80"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2653</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85" t="str">
        <f>HYPERLINK("#MI_Oferente_Singular!A114","CAPACIDAD RESIDUAL")</f>
        <v>CAPACIDAD RESIDUAL</v>
      </c>
      <c r="F8" s="186"/>
      <c r="G8" s="187"/>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85" t="str">
        <f>HYPERLINK("#MI_Oferente_Singular!A162","TALENTO HUMANO")</f>
        <v>TALENTO HUMANO</v>
      </c>
      <c r="F9" s="186"/>
      <c r="G9" s="187"/>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85" t="str">
        <f>HYPERLINK("#MI_Oferente_Singular!F162","INFRAESTRUCTURA")</f>
        <v>INFRAESTRUCTURA</v>
      </c>
      <c r="F10" s="186"/>
      <c r="G10" s="187"/>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9" t="s">
        <v>2695</v>
      </c>
      <c r="D15" s="35"/>
      <c r="E15" s="35"/>
      <c r="F15" s="5"/>
      <c r="G15" s="32" t="s">
        <v>1168</v>
      </c>
      <c r="H15" s="102" t="s">
        <v>660</v>
      </c>
      <c r="I15" s="32" t="s">
        <v>2624</v>
      </c>
      <c r="J15" s="107" t="s">
        <v>2626</v>
      </c>
      <c r="L15" s="211" t="s">
        <v>8</v>
      </c>
      <c r="M15" s="211"/>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8" t="s">
        <v>2639</v>
      </c>
      <c r="I19" s="133" t="s">
        <v>11</v>
      </c>
      <c r="J19" s="134" t="s">
        <v>10</v>
      </c>
      <c r="K19" s="134" t="s">
        <v>2609</v>
      </c>
      <c r="L19" s="134" t="s">
        <v>1161</v>
      </c>
      <c r="M19" s="134" t="s">
        <v>1162</v>
      </c>
      <c r="N19" s="135" t="s">
        <v>2610</v>
      </c>
      <c r="O19" s="130"/>
      <c r="Q19" s="51"/>
      <c r="R19" s="51"/>
    </row>
    <row r="20" spans="1:23" ht="30" customHeight="1" x14ac:dyDescent="0.25">
      <c r="A20" s="9"/>
      <c r="B20" s="108">
        <v>813013497</v>
      </c>
      <c r="C20" s="5"/>
      <c r="D20" s="73"/>
      <c r="E20" s="5"/>
      <c r="F20" s="5"/>
      <c r="G20" s="5"/>
      <c r="H20" s="188"/>
      <c r="I20" s="142" t="s">
        <v>660</v>
      </c>
      <c r="J20" s="143" t="s">
        <v>684</v>
      </c>
      <c r="K20" s="253">
        <v>2047635805</v>
      </c>
      <c r="L20" s="145">
        <v>44194</v>
      </c>
      <c r="M20" s="145">
        <v>44561</v>
      </c>
      <c r="N20" s="128">
        <f>+(M20-L20)/30</f>
        <v>12.233333333333333</v>
      </c>
      <c r="O20" s="131"/>
      <c r="U20" s="127"/>
      <c r="V20" s="104">
        <f ca="1">NOW()</f>
        <v>44194.573253703704</v>
      </c>
      <c r="W20" s="104">
        <f ca="1">NOW()</f>
        <v>44194.573253703704</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2"/>
      <c r="I37" s="123"/>
      <c r="J37" s="123"/>
      <c r="K37" s="123"/>
      <c r="L37" s="123"/>
      <c r="M37" s="123"/>
      <c r="N37" s="123"/>
      <c r="O37" s="124"/>
    </row>
    <row r="38" spans="1:16" ht="21" customHeight="1" x14ac:dyDescent="0.25">
      <c r="A38" s="9"/>
      <c r="B38" s="180" t="str">
        <f>VLOOKUP(B20,EAS!A2:B1439,2,0)</f>
        <v>FUNDACIÓN SOCIAL AMOR Y VIDA</v>
      </c>
      <c r="C38" s="180"/>
      <c r="D38" s="180"/>
      <c r="E38" s="180"/>
      <c r="F38" s="180"/>
      <c r="G38" s="5"/>
      <c r="H38" s="125"/>
      <c r="I38" s="192" t="s">
        <v>7</v>
      </c>
      <c r="J38" s="192"/>
      <c r="K38" s="192"/>
      <c r="L38" s="192"/>
      <c r="M38" s="192"/>
      <c r="N38" s="192"/>
      <c r="O38" s="126"/>
    </row>
    <row r="39" spans="1:16" ht="42.95" customHeight="1" thickBot="1" x14ac:dyDescent="0.3">
      <c r="A39" s="10"/>
      <c r="B39" s="11"/>
      <c r="C39" s="11"/>
      <c r="D39" s="11"/>
      <c r="E39" s="11"/>
      <c r="F39" s="11"/>
      <c r="G39" s="11"/>
      <c r="H39" s="10"/>
      <c r="I39" s="224" t="s">
        <v>2693</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2654</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09" t="s">
        <v>2694</v>
      </c>
      <c r="C48" s="110" t="s">
        <v>31</v>
      </c>
      <c r="D48" s="171">
        <v>102</v>
      </c>
      <c r="E48" s="172">
        <v>41297</v>
      </c>
      <c r="F48" s="172">
        <v>41639</v>
      </c>
      <c r="G48" s="153">
        <f>IF(AND(E48&lt;&gt;"",F48&lt;&gt;""),((F48-E48)/30),"")</f>
        <v>11.4</v>
      </c>
      <c r="H48" s="254" t="s">
        <v>2696</v>
      </c>
      <c r="I48" s="111" t="s">
        <v>660</v>
      </c>
      <c r="J48" s="111" t="s">
        <v>684</v>
      </c>
      <c r="K48" s="173">
        <v>1904369822</v>
      </c>
      <c r="L48" s="112" t="s">
        <v>1148</v>
      </c>
      <c r="M48" s="113">
        <v>1</v>
      </c>
      <c r="N48" s="112" t="s">
        <v>27</v>
      </c>
      <c r="O48" s="112" t="s">
        <v>1148</v>
      </c>
      <c r="P48" s="78"/>
    </row>
    <row r="49" spans="1:16" s="6" customFormat="1" ht="24.75" customHeight="1" x14ac:dyDescent="0.25">
      <c r="A49" s="136">
        <v>2</v>
      </c>
      <c r="B49" s="115" t="s">
        <v>2694</v>
      </c>
      <c r="C49" s="117" t="s">
        <v>31</v>
      </c>
      <c r="D49" s="171">
        <v>197</v>
      </c>
      <c r="E49" s="172">
        <v>41659</v>
      </c>
      <c r="F49" s="172">
        <v>42034</v>
      </c>
      <c r="G49" s="153">
        <f t="shared" ref="G49:G50" si="2">IF(AND(E49&lt;&gt;"",F49&lt;&gt;""),((F49-E49)/30),"")</f>
        <v>12.5</v>
      </c>
      <c r="H49" s="254" t="s">
        <v>2697</v>
      </c>
      <c r="I49" s="114" t="s">
        <v>660</v>
      </c>
      <c r="J49" s="114" t="s">
        <v>684</v>
      </c>
      <c r="K49" s="173">
        <v>2447940195</v>
      </c>
      <c r="L49" s="112" t="s">
        <v>1148</v>
      </c>
      <c r="M49" s="113">
        <v>1</v>
      </c>
      <c r="N49" s="117" t="s">
        <v>27</v>
      </c>
      <c r="O49" s="117" t="s">
        <v>1148</v>
      </c>
      <c r="P49" s="78"/>
    </row>
    <row r="50" spans="1:16" s="6" customFormat="1" ht="24.75" customHeight="1" x14ac:dyDescent="0.25">
      <c r="A50" s="136">
        <v>3</v>
      </c>
      <c r="B50" s="115" t="s">
        <v>2694</v>
      </c>
      <c r="C50" s="117" t="s">
        <v>31</v>
      </c>
      <c r="D50" s="174">
        <v>114</v>
      </c>
      <c r="E50" s="176">
        <v>42033</v>
      </c>
      <c r="F50" s="172">
        <v>42369</v>
      </c>
      <c r="G50" s="153">
        <f t="shared" si="2"/>
        <v>11.2</v>
      </c>
      <c r="H50" s="254" t="s">
        <v>2697</v>
      </c>
      <c r="I50" s="114" t="s">
        <v>660</v>
      </c>
      <c r="J50" s="114" t="s">
        <v>684</v>
      </c>
      <c r="K50" s="178">
        <v>2356459834</v>
      </c>
      <c r="L50" s="112" t="s">
        <v>1148</v>
      </c>
      <c r="M50" s="113">
        <v>1</v>
      </c>
      <c r="N50" s="117" t="s">
        <v>27</v>
      </c>
      <c r="O50" s="117" t="s">
        <v>26</v>
      </c>
      <c r="P50" s="78"/>
    </row>
    <row r="51" spans="1:16" s="6" customFormat="1" ht="24.75" customHeight="1" outlineLevel="1" x14ac:dyDescent="0.25">
      <c r="A51" s="136">
        <v>4</v>
      </c>
      <c r="B51" s="115" t="s">
        <v>2694</v>
      </c>
      <c r="C51" s="117" t="s">
        <v>31</v>
      </c>
      <c r="D51" s="171">
        <v>216</v>
      </c>
      <c r="E51" s="172">
        <v>42394</v>
      </c>
      <c r="F51" s="172">
        <v>42719</v>
      </c>
      <c r="G51" s="153">
        <f t="shared" ref="G51:G107" si="3">IF(AND(E51&lt;&gt;"",F51&lt;&gt;""),((F51-E51)/30),"")</f>
        <v>10.833333333333334</v>
      </c>
      <c r="H51" s="254" t="s">
        <v>2698</v>
      </c>
      <c r="I51" s="114" t="s">
        <v>660</v>
      </c>
      <c r="J51" s="114" t="s">
        <v>684</v>
      </c>
      <c r="K51" s="173">
        <v>1937633840</v>
      </c>
      <c r="L51" s="112" t="s">
        <v>1148</v>
      </c>
      <c r="M51" s="113">
        <v>1</v>
      </c>
      <c r="N51" s="117" t="s">
        <v>27</v>
      </c>
      <c r="O51" s="117" t="s">
        <v>1148</v>
      </c>
      <c r="P51" s="78"/>
    </row>
    <row r="52" spans="1:16" s="7" customFormat="1" ht="24.75" customHeight="1" outlineLevel="1" x14ac:dyDescent="0.25">
      <c r="A52" s="137">
        <v>5</v>
      </c>
      <c r="B52" s="115" t="s">
        <v>2694</v>
      </c>
      <c r="C52" s="117" t="s">
        <v>31</v>
      </c>
      <c r="D52" s="171">
        <v>199</v>
      </c>
      <c r="E52" s="172">
        <v>42394</v>
      </c>
      <c r="F52" s="172">
        <v>42674</v>
      </c>
      <c r="G52" s="153">
        <f t="shared" si="3"/>
        <v>9.3333333333333339</v>
      </c>
      <c r="H52" s="254" t="s">
        <v>2699</v>
      </c>
      <c r="I52" s="114" t="s">
        <v>660</v>
      </c>
      <c r="J52" s="114" t="s">
        <v>684</v>
      </c>
      <c r="K52" s="173">
        <v>2229120556</v>
      </c>
      <c r="L52" s="112" t="s">
        <v>1148</v>
      </c>
      <c r="M52" s="113">
        <v>1</v>
      </c>
      <c r="N52" s="117" t="s">
        <v>27</v>
      </c>
      <c r="O52" s="117" t="s">
        <v>1148</v>
      </c>
      <c r="P52" s="79"/>
    </row>
    <row r="53" spans="1:16" s="7" customFormat="1" ht="24.75" customHeight="1" outlineLevel="1" x14ac:dyDescent="0.25">
      <c r="A53" s="137">
        <v>6</v>
      </c>
      <c r="B53" s="115" t="s">
        <v>2694</v>
      </c>
      <c r="C53" s="117" t="s">
        <v>31</v>
      </c>
      <c r="D53" s="171">
        <v>435</v>
      </c>
      <c r="E53" s="172">
        <v>42675</v>
      </c>
      <c r="F53" s="172">
        <v>43312</v>
      </c>
      <c r="G53" s="153">
        <f t="shared" si="3"/>
        <v>21.233333333333334</v>
      </c>
      <c r="H53" s="254" t="s">
        <v>2700</v>
      </c>
      <c r="I53" s="114" t="s">
        <v>660</v>
      </c>
      <c r="J53" s="114" t="s">
        <v>684</v>
      </c>
      <c r="K53" s="173">
        <v>2712649942</v>
      </c>
      <c r="L53" s="117" t="s">
        <v>1148</v>
      </c>
      <c r="M53" s="113">
        <v>1</v>
      </c>
      <c r="N53" s="117" t="s">
        <v>27</v>
      </c>
      <c r="O53" s="117" t="s">
        <v>1148</v>
      </c>
      <c r="P53" s="79"/>
    </row>
    <row r="54" spans="1:16" s="7" customFormat="1" ht="24.75" customHeight="1" outlineLevel="1" x14ac:dyDescent="0.25">
      <c r="A54" s="137">
        <v>7</v>
      </c>
      <c r="B54" s="115" t="s">
        <v>2694</v>
      </c>
      <c r="C54" s="117" t="s">
        <v>31</v>
      </c>
      <c r="D54" s="171">
        <v>601</v>
      </c>
      <c r="E54" s="172">
        <v>42717</v>
      </c>
      <c r="F54" s="172">
        <v>43084</v>
      </c>
      <c r="G54" s="153">
        <f t="shared" si="3"/>
        <v>12.233333333333333</v>
      </c>
      <c r="H54" s="254" t="s">
        <v>2701</v>
      </c>
      <c r="I54" s="114" t="s">
        <v>660</v>
      </c>
      <c r="J54" s="114" t="s">
        <v>684</v>
      </c>
      <c r="K54" s="173">
        <v>562568996</v>
      </c>
      <c r="L54" s="117" t="s">
        <v>1148</v>
      </c>
      <c r="M54" s="113">
        <v>1</v>
      </c>
      <c r="N54" s="117" t="s">
        <v>27</v>
      </c>
      <c r="O54" s="117" t="s">
        <v>1148</v>
      </c>
      <c r="P54" s="79"/>
    </row>
    <row r="55" spans="1:16" s="7" customFormat="1" ht="24.75" customHeight="1" outlineLevel="1" x14ac:dyDescent="0.25">
      <c r="A55" s="137">
        <v>8</v>
      </c>
      <c r="B55" s="115" t="s">
        <v>2694</v>
      </c>
      <c r="C55" s="117" t="s">
        <v>31</v>
      </c>
      <c r="D55" s="171">
        <v>497</v>
      </c>
      <c r="E55" s="172">
        <v>43085</v>
      </c>
      <c r="F55" s="172">
        <v>43312</v>
      </c>
      <c r="G55" s="153">
        <f t="shared" si="3"/>
        <v>7.5666666666666664</v>
      </c>
      <c r="H55" s="254" t="s">
        <v>2702</v>
      </c>
      <c r="I55" s="114" t="s">
        <v>660</v>
      </c>
      <c r="J55" s="114" t="s">
        <v>684</v>
      </c>
      <c r="K55" s="173">
        <v>420812555</v>
      </c>
      <c r="L55" s="117" t="s">
        <v>1148</v>
      </c>
      <c r="M55" s="113">
        <v>1</v>
      </c>
      <c r="N55" s="117" t="s">
        <v>27</v>
      </c>
      <c r="O55" s="117" t="s">
        <v>1148</v>
      </c>
      <c r="P55" s="79"/>
    </row>
    <row r="56" spans="1:16" s="7" customFormat="1" ht="24.75" customHeight="1" outlineLevel="1" x14ac:dyDescent="0.25">
      <c r="A56" s="137">
        <v>9</v>
      </c>
      <c r="B56" s="115" t="s">
        <v>2694</v>
      </c>
      <c r="C56" s="117" t="s">
        <v>31</v>
      </c>
      <c r="D56" s="171">
        <v>228</v>
      </c>
      <c r="E56" s="172">
        <v>43313</v>
      </c>
      <c r="F56" s="172">
        <v>43434</v>
      </c>
      <c r="G56" s="153">
        <f t="shared" si="3"/>
        <v>4.0333333333333332</v>
      </c>
      <c r="H56" s="254" t="s">
        <v>2702</v>
      </c>
      <c r="I56" s="114" t="s">
        <v>660</v>
      </c>
      <c r="J56" s="114" t="s">
        <v>684</v>
      </c>
      <c r="K56" s="173">
        <v>265545824</v>
      </c>
      <c r="L56" s="117" t="s">
        <v>1148</v>
      </c>
      <c r="M56" s="113">
        <v>1</v>
      </c>
      <c r="N56" s="117" t="s">
        <v>27</v>
      </c>
      <c r="O56" s="117" t="s">
        <v>1148</v>
      </c>
      <c r="P56" s="79"/>
    </row>
    <row r="57" spans="1:16" s="7" customFormat="1" ht="24.75" customHeight="1" outlineLevel="1" x14ac:dyDescent="0.25">
      <c r="A57" s="137">
        <v>10</v>
      </c>
      <c r="B57" s="115" t="s">
        <v>2694</v>
      </c>
      <c r="C57" s="117" t="s">
        <v>31</v>
      </c>
      <c r="D57" s="175">
        <v>147</v>
      </c>
      <c r="E57" s="177">
        <v>43486</v>
      </c>
      <c r="F57" s="177">
        <v>43819</v>
      </c>
      <c r="G57" s="153">
        <f t="shared" si="3"/>
        <v>11.1</v>
      </c>
      <c r="H57" s="254" t="s">
        <v>2703</v>
      </c>
      <c r="I57" s="114" t="s">
        <v>660</v>
      </c>
      <c r="J57" s="114" t="s">
        <v>684</v>
      </c>
      <c r="K57" s="178">
        <v>766770138</v>
      </c>
      <c r="L57" s="117" t="s">
        <v>1148</v>
      </c>
      <c r="M57" s="113">
        <v>1</v>
      </c>
      <c r="N57" s="117" t="s">
        <v>27</v>
      </c>
      <c r="O57" s="117" t="s">
        <v>1148</v>
      </c>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3"/>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3"/>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3"/>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3"/>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3"/>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3"/>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3"/>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3"/>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2655</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2664</v>
      </c>
      <c r="C114" s="156" t="s">
        <v>31</v>
      </c>
      <c r="D114" s="114" t="s">
        <v>2676</v>
      </c>
      <c r="E114" s="138">
        <v>43880</v>
      </c>
      <c r="F114" s="138">
        <v>44196</v>
      </c>
      <c r="G114" s="153">
        <f>IF(AND(E114&lt;&gt;"",F114&lt;&gt;""),((F114-E114)/30),"")</f>
        <v>10.533333333333333</v>
      </c>
      <c r="H114" s="254" t="s">
        <v>2682</v>
      </c>
      <c r="I114" s="114" t="s">
        <v>660</v>
      </c>
      <c r="J114" s="114" t="s">
        <v>672</v>
      </c>
      <c r="K114" s="170">
        <v>3075696502</v>
      </c>
      <c r="L114" s="100">
        <f>+IF(AND(K114&gt;0,O114="Ejecución"),(K114/877802)*Tabla28[[#This Row],[% participación]],IF(AND(K114&gt;0,O114&lt;&gt;"Ejecución"),"-",""))</f>
        <v>3503.8613514209355</v>
      </c>
      <c r="M114" s="117" t="s">
        <v>1148</v>
      </c>
      <c r="N114" s="166">
        <v>1</v>
      </c>
      <c r="O114" s="155" t="s">
        <v>1150</v>
      </c>
      <c r="P114" s="78"/>
    </row>
    <row r="115" spans="1:16" s="6" customFormat="1" ht="24.75" customHeight="1" x14ac:dyDescent="0.25">
      <c r="A115" s="136">
        <v>2</v>
      </c>
      <c r="B115" s="154" t="s">
        <v>2664</v>
      </c>
      <c r="C115" s="156" t="s">
        <v>31</v>
      </c>
      <c r="D115" s="114" t="s">
        <v>2677</v>
      </c>
      <c r="E115" s="138">
        <v>43880</v>
      </c>
      <c r="F115" s="138">
        <v>44196</v>
      </c>
      <c r="G115" s="153">
        <f t="shared" ref="G115:G116" si="4">IF(AND(E115&lt;&gt;"",F115&lt;&gt;""),((F115-E115)/30),"")</f>
        <v>10.533333333333333</v>
      </c>
      <c r="H115" s="254" t="s">
        <v>2683</v>
      </c>
      <c r="I115" s="114" t="s">
        <v>660</v>
      </c>
      <c r="J115" s="114" t="s">
        <v>662</v>
      </c>
      <c r="K115" s="170">
        <v>2329678671</v>
      </c>
      <c r="L115" s="100">
        <f>+IF(AND(K115&gt;0,O115="Ejecución"),(K115/877802)*Tabla28[[#This Row],[% participación]],IF(AND(K115&gt;0,O115&lt;&gt;"Ejecución"),"-",""))</f>
        <v>2653.9910720185189</v>
      </c>
      <c r="M115" s="117" t="s">
        <v>1148</v>
      </c>
      <c r="N115" s="166">
        <v>1</v>
      </c>
      <c r="O115" s="155" t="s">
        <v>1150</v>
      </c>
      <c r="P115" s="78"/>
    </row>
    <row r="116" spans="1:16" s="6" customFormat="1" ht="24.75" customHeight="1" x14ac:dyDescent="0.25">
      <c r="A116" s="136">
        <v>3</v>
      </c>
      <c r="B116" s="154" t="s">
        <v>2664</v>
      </c>
      <c r="C116" s="156" t="s">
        <v>31</v>
      </c>
      <c r="D116" s="114" t="s">
        <v>2678</v>
      </c>
      <c r="E116" s="138">
        <v>43880</v>
      </c>
      <c r="F116" s="138">
        <v>44196</v>
      </c>
      <c r="G116" s="153">
        <f t="shared" si="4"/>
        <v>10.533333333333333</v>
      </c>
      <c r="H116" s="254" t="s">
        <v>2682</v>
      </c>
      <c r="I116" s="114" t="s">
        <v>660</v>
      </c>
      <c r="J116" s="114" t="s">
        <v>690</v>
      </c>
      <c r="K116" s="170">
        <v>1209596683</v>
      </c>
      <c r="L116" s="100">
        <f>+IF(AND(K116&gt;0,O116="Ejecución"),(K116/877802)*Tabla28[[#This Row],[% participación]],IF(AND(K116&gt;0,O116&lt;&gt;"Ejecución"),"-",""))</f>
        <v>1377.9835122271309</v>
      </c>
      <c r="M116" s="117" t="s">
        <v>1148</v>
      </c>
      <c r="N116" s="166">
        <v>1</v>
      </c>
      <c r="O116" s="155" t="s">
        <v>1150</v>
      </c>
      <c r="P116" s="78"/>
    </row>
    <row r="117" spans="1:16" s="6" customFormat="1" ht="24.75" customHeight="1" outlineLevel="1" x14ac:dyDescent="0.25">
      <c r="A117" s="136">
        <v>4</v>
      </c>
      <c r="B117" s="154" t="s">
        <v>2664</v>
      </c>
      <c r="C117" s="156" t="s">
        <v>31</v>
      </c>
      <c r="D117" s="114" t="s">
        <v>2679</v>
      </c>
      <c r="E117" s="138">
        <v>43880</v>
      </c>
      <c r="F117" s="138">
        <v>44196</v>
      </c>
      <c r="G117" s="153">
        <f t="shared" ref="G117:G159" si="5">IF(AND(E117&lt;&gt;"",F117&lt;&gt;""),((F117-E117)/30),"")</f>
        <v>10.533333333333333</v>
      </c>
      <c r="H117" s="254" t="s">
        <v>2684</v>
      </c>
      <c r="I117" s="114" t="s">
        <v>660</v>
      </c>
      <c r="J117" s="114" t="s">
        <v>678</v>
      </c>
      <c r="K117" s="170">
        <v>1417076918</v>
      </c>
      <c r="L117" s="100">
        <f>+IF(AND(K117&gt;0,O117="Ejecución"),(K117/877802)*Tabla28[[#This Row],[% participación]],IF(AND(K117&gt;0,O117&lt;&gt;"Ejecución"),"-",""))</f>
        <v>1614.3468777697021</v>
      </c>
      <c r="M117" s="117" t="s">
        <v>1148</v>
      </c>
      <c r="N117" s="166">
        <v>1</v>
      </c>
      <c r="O117" s="155" t="s">
        <v>1150</v>
      </c>
      <c r="P117" s="78"/>
    </row>
    <row r="118" spans="1:16" s="7" customFormat="1" ht="24.75" customHeight="1" outlineLevel="1" x14ac:dyDescent="0.25">
      <c r="A118" s="137">
        <v>5</v>
      </c>
      <c r="B118" s="154" t="s">
        <v>2664</v>
      </c>
      <c r="C118" s="156" t="s">
        <v>31</v>
      </c>
      <c r="D118" s="114" t="s">
        <v>2680</v>
      </c>
      <c r="E118" s="138">
        <v>43880</v>
      </c>
      <c r="F118" s="138">
        <v>44196</v>
      </c>
      <c r="G118" s="153">
        <f t="shared" si="5"/>
        <v>10.533333333333333</v>
      </c>
      <c r="H118" s="254" t="s">
        <v>2682</v>
      </c>
      <c r="I118" s="114" t="s">
        <v>660</v>
      </c>
      <c r="J118" s="114" t="s">
        <v>678</v>
      </c>
      <c r="K118" s="170">
        <v>3591840645</v>
      </c>
      <c r="L118" s="100">
        <f>+IF(AND(K118&gt;0,O118="Ejecución"),(K118/877802)*Tabla28[[#This Row],[% participación]],IF(AND(K118&gt;0,O118&lt;&gt;"Ejecución"),"-",""))</f>
        <v>4091.8574405161985</v>
      </c>
      <c r="M118" s="117" t="s">
        <v>1148</v>
      </c>
      <c r="N118" s="166">
        <v>1</v>
      </c>
      <c r="O118" s="155" t="s">
        <v>1150</v>
      </c>
      <c r="P118" s="79"/>
    </row>
    <row r="119" spans="1:16" s="7" customFormat="1" ht="24.75" customHeight="1" outlineLevel="1" x14ac:dyDescent="0.25">
      <c r="A119" s="137">
        <v>6</v>
      </c>
      <c r="B119" s="154" t="s">
        <v>2664</v>
      </c>
      <c r="C119" s="156" t="s">
        <v>31</v>
      </c>
      <c r="D119" s="114" t="s">
        <v>2681</v>
      </c>
      <c r="E119" s="138">
        <v>43880</v>
      </c>
      <c r="F119" s="138">
        <v>44196</v>
      </c>
      <c r="G119" s="153">
        <f t="shared" si="5"/>
        <v>10.533333333333333</v>
      </c>
      <c r="H119" s="254" t="s">
        <v>2684</v>
      </c>
      <c r="I119" s="114" t="s">
        <v>660</v>
      </c>
      <c r="J119" s="114" t="s">
        <v>684</v>
      </c>
      <c r="K119" s="170">
        <v>706878304</v>
      </c>
      <c r="L119" s="100">
        <f>+IF(AND(K119&gt;0,O119="Ejecución"),(K119/877802)*Tabla28[[#This Row],[% participación]],IF(AND(K119&gt;0,O119&lt;&gt;"Ejecución"),"-",""))</f>
        <v>805.28217525136643</v>
      </c>
      <c r="M119" s="117" t="s">
        <v>1148</v>
      </c>
      <c r="N119" s="166">
        <v>1</v>
      </c>
      <c r="O119" s="155" t="s">
        <v>1150</v>
      </c>
      <c r="P119" s="79"/>
    </row>
    <row r="120" spans="1:16" s="7" customFormat="1" ht="24.75" customHeight="1" outlineLevel="1" x14ac:dyDescent="0.25">
      <c r="A120" s="137">
        <v>7</v>
      </c>
      <c r="B120" s="154" t="s">
        <v>2664</v>
      </c>
      <c r="C120" s="156" t="s">
        <v>31</v>
      </c>
      <c r="D120" s="63" t="s">
        <v>2685</v>
      </c>
      <c r="E120" s="138">
        <v>44166</v>
      </c>
      <c r="F120" s="138">
        <v>44773</v>
      </c>
      <c r="G120" s="153">
        <f t="shared" si="5"/>
        <v>20.233333333333334</v>
      </c>
      <c r="H120" s="254" t="s">
        <v>2688</v>
      </c>
      <c r="I120" s="63" t="s">
        <v>660</v>
      </c>
      <c r="J120" s="114" t="s">
        <v>678</v>
      </c>
      <c r="K120" s="68">
        <v>2374599189</v>
      </c>
      <c r="L120" s="100">
        <f>+IF(AND(K120&gt;0,O120="Ejecución"),(K120/877802)*Tabla28[[#This Row],[% participación]],IF(AND(K120&gt;0,O120&lt;&gt;"Ejecución"),"-",""))</f>
        <v>2705.1649335499351</v>
      </c>
      <c r="M120" s="117" t="s">
        <v>1148</v>
      </c>
      <c r="N120" s="166">
        <v>1</v>
      </c>
      <c r="O120" s="155" t="s">
        <v>1150</v>
      </c>
      <c r="P120" s="79"/>
    </row>
    <row r="121" spans="1:16" s="7" customFormat="1" ht="24.75" customHeight="1" outlineLevel="1" x14ac:dyDescent="0.25">
      <c r="A121" s="137">
        <v>8</v>
      </c>
      <c r="B121" s="154" t="s">
        <v>2664</v>
      </c>
      <c r="C121" s="156" t="s">
        <v>31</v>
      </c>
      <c r="D121" s="114" t="s">
        <v>2686</v>
      </c>
      <c r="E121" s="138">
        <v>44166</v>
      </c>
      <c r="F121" s="138">
        <v>44773</v>
      </c>
      <c r="G121" s="153">
        <f t="shared" si="5"/>
        <v>20.233333333333334</v>
      </c>
      <c r="H121" s="254" t="s">
        <v>2688</v>
      </c>
      <c r="I121" s="114" t="s">
        <v>660</v>
      </c>
      <c r="J121" s="114" t="s">
        <v>678</v>
      </c>
      <c r="K121" s="68">
        <v>3182973381</v>
      </c>
      <c r="L121" s="100">
        <f>+IF(AND(K121&gt;0,O121="Ejecución"),(K121/877802)*Tabla28[[#This Row],[% participación]],IF(AND(K121&gt;0,O121&lt;&gt;"Ejecución"),"-",""))</f>
        <v>3626.0721449711896</v>
      </c>
      <c r="M121" s="117" t="s">
        <v>1148</v>
      </c>
      <c r="N121" s="166">
        <v>1</v>
      </c>
      <c r="O121" s="155" t="s">
        <v>1150</v>
      </c>
      <c r="P121" s="79"/>
    </row>
    <row r="122" spans="1:16" s="7" customFormat="1" ht="24.75" customHeight="1" outlineLevel="1" x14ac:dyDescent="0.25">
      <c r="A122" s="137">
        <v>9</v>
      </c>
      <c r="B122" s="154" t="s">
        <v>2664</v>
      </c>
      <c r="C122" s="156" t="s">
        <v>31</v>
      </c>
      <c r="D122" s="114" t="s">
        <v>2687</v>
      </c>
      <c r="E122" s="138">
        <v>44166</v>
      </c>
      <c r="F122" s="138">
        <v>44773</v>
      </c>
      <c r="G122" s="153">
        <f t="shared" si="5"/>
        <v>20.233333333333334</v>
      </c>
      <c r="H122" s="254" t="s">
        <v>2688</v>
      </c>
      <c r="I122" s="114" t="s">
        <v>660</v>
      </c>
      <c r="J122" s="63" t="s">
        <v>690</v>
      </c>
      <c r="K122" s="68">
        <v>2374599189</v>
      </c>
      <c r="L122" s="100">
        <f>+IF(AND(K122&gt;0,O122="Ejecución"),(K122/877802)*Tabla28[[#This Row],[% participación]],IF(AND(K122&gt;0,O122&lt;&gt;"Ejecución"),"-",""))</f>
        <v>2705.1649335499351</v>
      </c>
      <c r="M122" s="117" t="s">
        <v>1148</v>
      </c>
      <c r="N122" s="166">
        <v>1</v>
      </c>
      <c r="O122" s="155" t="s">
        <v>1150</v>
      </c>
      <c r="P122" s="79"/>
    </row>
    <row r="123" spans="1:16" s="7" customFormat="1" ht="24.75" customHeight="1" outlineLevel="1" x14ac:dyDescent="0.25">
      <c r="A123" s="137">
        <v>10</v>
      </c>
      <c r="B123" s="154" t="s">
        <v>2664</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ref="N123:N160" si="6">+IF(M123="No",1,IF(M123="Si","Ingrese %",""))</f>
        <v/>
      </c>
      <c r="O123" s="155" t="s">
        <v>1150</v>
      </c>
      <c r="P123" s="79"/>
    </row>
    <row r="124" spans="1:16" s="7" customFormat="1" ht="24.75" customHeight="1" outlineLevel="1" x14ac:dyDescent="0.25">
      <c r="A124" s="137">
        <v>11</v>
      </c>
      <c r="B124" s="154" t="s">
        <v>2664</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2664</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2664</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2664</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2664</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2664</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2664</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2664</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2664</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2664</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2664</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2664</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2664</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2664</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2664</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2664</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2664</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2664</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2664</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2664</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2664</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2664</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2664</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2664</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2664</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2664</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2664</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2664</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2664</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2664</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2664</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2664</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2664</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2664</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2664</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2664</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2664</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2659</v>
      </c>
      <c r="B163" s="242"/>
      <c r="C163" s="242"/>
      <c r="D163" s="242"/>
      <c r="E163" s="243"/>
      <c r="F163" s="244" t="s">
        <v>2660</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48" t="s">
        <v>2643</v>
      </c>
      <c r="J167" s="249"/>
      <c r="K167" s="249"/>
      <c r="L167" s="249"/>
      <c r="M167" s="249"/>
      <c r="N167" s="249"/>
      <c r="O167" s="250"/>
      <c r="U167" s="51"/>
    </row>
    <row r="168" spans="1:28" x14ac:dyDescent="0.25">
      <c r="A168" s="9"/>
      <c r="B168" s="225" t="s">
        <v>2657</v>
      </c>
      <c r="C168" s="225"/>
      <c r="D168" s="225"/>
      <c r="E168" s="8"/>
      <c r="F168" s="5"/>
      <c r="H168" s="81" t="s">
        <v>2656</v>
      </c>
      <c r="I168" s="248"/>
      <c r="J168" s="249"/>
      <c r="K168" s="249"/>
      <c r="L168" s="249"/>
      <c r="M168" s="249"/>
      <c r="N168" s="249"/>
      <c r="O168" s="250"/>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2667</v>
      </c>
      <c r="B172" s="183"/>
      <c r="C172" s="183"/>
      <c r="D172" s="183"/>
      <c r="E172" s="183"/>
      <c r="F172" s="183"/>
      <c r="G172" s="183"/>
      <c r="H172" s="183"/>
      <c r="I172" s="183"/>
      <c r="J172" s="183"/>
      <c r="K172" s="183"/>
      <c r="L172" s="183"/>
      <c r="M172" s="183"/>
      <c r="N172" s="183"/>
      <c r="O172" s="184"/>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2668</v>
      </c>
      <c r="C176" s="213"/>
      <c r="D176" s="213"/>
      <c r="E176" s="213"/>
      <c r="F176" s="213"/>
      <c r="G176" s="213"/>
      <c r="H176" s="20"/>
      <c r="I176" s="220" t="s">
        <v>2674</v>
      </c>
      <c r="J176" s="221"/>
      <c r="K176" s="221"/>
      <c r="L176" s="221"/>
      <c r="M176" s="221"/>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2671</v>
      </c>
      <c r="O177" s="8"/>
      <c r="Q177" s="19"/>
      <c r="R177" s="19"/>
      <c r="S177" s="19"/>
      <c r="T177" s="19"/>
      <c r="U177" s="19"/>
      <c r="V177" s="19"/>
      <c r="W177" s="19"/>
      <c r="X177" s="19"/>
      <c r="Y177" s="19"/>
      <c r="Z177" s="19"/>
      <c r="AA177" s="19"/>
      <c r="AB177" s="19"/>
    </row>
    <row r="178" spans="1:28" ht="23.25" x14ac:dyDescent="0.25">
      <c r="A178" s="9"/>
      <c r="B178" s="217"/>
      <c r="C178" s="218"/>
      <c r="D178" s="219"/>
      <c r="E178" s="160"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57"/>
      <c r="Z178" s="158" t="str">
        <f>IF(Y178&gt;0,SUM(E180+Y178),"")</f>
        <v/>
      </c>
      <c r="AA178" s="19"/>
      <c r="AB178" s="19"/>
    </row>
    <row r="179" spans="1:28" ht="23.25" x14ac:dyDescent="0.25">
      <c r="A179" s="9"/>
      <c r="B179" s="223" t="s">
        <v>2668</v>
      </c>
      <c r="C179" s="223"/>
      <c r="D179" s="223"/>
      <c r="E179" s="164">
        <v>0.02</v>
      </c>
      <c r="F179" s="163">
        <v>1E-3</v>
      </c>
      <c r="G179" s="158">
        <f>IF(F179&gt;0,SUM(E179+F179),"")</f>
        <v>2.1000000000000001E-2</v>
      </c>
      <c r="H179" s="5"/>
      <c r="I179" s="223" t="s">
        <v>2670</v>
      </c>
      <c r="J179" s="223"/>
      <c r="K179" s="223"/>
      <c r="L179" s="223"/>
      <c r="M179" s="165">
        <v>0.02</v>
      </c>
      <c r="O179" s="8"/>
      <c r="Q179" s="19"/>
      <c r="R179" s="152">
        <f>IF(M179&gt;0,SUM(L179+M179),"")</f>
        <v>0.02</v>
      </c>
      <c r="T179" s="19"/>
      <c r="U179" s="179" t="s">
        <v>1166</v>
      </c>
      <c r="V179" s="179"/>
      <c r="W179" s="179"/>
      <c r="X179" s="24">
        <v>0.02</v>
      </c>
      <c r="Y179" s="157"/>
      <c r="Z179" s="158" t="str">
        <f>IF(Y179&gt;0,SUM(E181+Y179),"")</f>
        <v/>
      </c>
      <c r="AA179" s="19"/>
      <c r="AB179" s="19"/>
    </row>
    <row r="180" spans="1:28" ht="23.25" hidden="1" x14ac:dyDescent="0.25">
      <c r="A180" s="9"/>
      <c r="B180" s="203"/>
      <c r="C180" s="203"/>
      <c r="D180" s="203"/>
      <c r="E180" s="162"/>
      <c r="H180" s="5"/>
      <c r="I180" s="203"/>
      <c r="J180" s="203"/>
      <c r="K180" s="203"/>
      <c r="L180" s="203"/>
      <c r="M180" s="5"/>
      <c r="O180" s="8"/>
      <c r="Q180" s="19"/>
      <c r="R180" s="152" t="str">
        <f>IF(S180&gt;0,SUM(L180+S180),"")</f>
        <v/>
      </c>
      <c r="S180" s="157"/>
      <c r="T180" s="19"/>
      <c r="U180" s="179" t="s">
        <v>1167</v>
      </c>
      <c r="V180" s="179"/>
      <c r="W180" s="179"/>
      <c r="X180" s="24">
        <v>0.03</v>
      </c>
      <c r="Y180" s="157"/>
      <c r="Z180" s="158" t="str">
        <f>IF(Y180&gt;0,SUM(E182+Y180),"")</f>
        <v/>
      </c>
      <c r="AA180" s="19"/>
      <c r="AB180" s="19"/>
    </row>
    <row r="181" spans="1:28" ht="23.25" hidden="1" x14ac:dyDescent="0.25">
      <c r="A181" s="9"/>
      <c r="B181" s="203"/>
      <c r="C181" s="203"/>
      <c r="D181" s="203"/>
      <c r="E181" s="162"/>
      <c r="H181" s="5"/>
      <c r="I181" s="203"/>
      <c r="J181" s="203"/>
      <c r="K181" s="203"/>
      <c r="L181" s="203"/>
      <c r="M181" s="5"/>
      <c r="O181" s="8"/>
      <c r="Q181" s="19"/>
      <c r="R181" s="152" t="str">
        <f>IF(S181&gt;0,SUM(L181+S181),"")</f>
        <v/>
      </c>
      <c r="S181" s="157"/>
      <c r="T181" s="19"/>
      <c r="U181" s="19"/>
      <c r="V181" s="19"/>
      <c r="W181" s="19"/>
      <c r="X181" s="19"/>
      <c r="Y181" s="19"/>
      <c r="Z181" s="19"/>
      <c r="AA181" s="19"/>
      <c r="AB181" s="19"/>
    </row>
    <row r="182" spans="1:28" ht="23.25" hidden="1" x14ac:dyDescent="0.25">
      <c r="A182" s="9"/>
      <c r="B182" s="203"/>
      <c r="C182" s="203"/>
      <c r="D182" s="203"/>
      <c r="E182" s="162"/>
      <c r="H182" s="5"/>
      <c r="I182" s="203"/>
      <c r="J182" s="203"/>
      <c r="K182" s="203"/>
      <c r="L182" s="203"/>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2" t="str">
        <f>IF(S183&gt;0,SUM(L183+S183),"")</f>
        <v/>
      </c>
      <c r="S183" s="157"/>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9">
        <f>+SUM(G179:G182)</f>
        <v>2.1000000000000001E-2</v>
      </c>
      <c r="D185" s="91" t="s">
        <v>2628</v>
      </c>
      <c r="E185" s="94">
        <f>+(C185*SUM(K20:K35))</f>
        <v>43000351.905000001</v>
      </c>
      <c r="F185" s="92"/>
      <c r="G185" s="93"/>
      <c r="H185" s="88"/>
      <c r="I185" s="90" t="s">
        <v>2627</v>
      </c>
      <c r="J185" s="159">
        <f>+SUM(M179:M183)</f>
        <v>0.02</v>
      </c>
      <c r="K185" s="204" t="s">
        <v>2628</v>
      </c>
      <c r="L185" s="204"/>
      <c r="M185" s="94">
        <f>+J185*(SUM(K20:K35))</f>
        <v>40952716.100000001</v>
      </c>
      <c r="N185" s="95"/>
      <c r="O185" s="96"/>
    </row>
    <row r="186" spans="1:28" ht="15.75" thickBot="1" x14ac:dyDescent="0.3">
      <c r="A186" s="10"/>
      <c r="B186" s="97"/>
      <c r="C186" s="97"/>
      <c r="D186" s="97"/>
      <c r="E186" s="97"/>
      <c r="F186" s="97"/>
      <c r="G186" s="97"/>
      <c r="H186" s="97"/>
      <c r="I186" s="161" t="s">
        <v>2672</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8" t="s">
        <v>2636</v>
      </c>
      <c r="C192" s="238"/>
      <c r="E192" s="5" t="s">
        <v>20</v>
      </c>
      <c r="H192" s="26" t="s">
        <v>24</v>
      </c>
      <c r="J192" s="5" t="s">
        <v>2637</v>
      </c>
      <c r="K192" s="5"/>
      <c r="M192" s="5"/>
      <c r="N192" s="5"/>
      <c r="O192" s="8"/>
      <c r="Q192" s="147"/>
      <c r="R192" s="148"/>
      <c r="S192" s="148"/>
      <c r="T192" s="147"/>
    </row>
    <row r="193" spans="1:18" x14ac:dyDescent="0.25">
      <c r="A193" s="9"/>
      <c r="C193" s="118">
        <v>41253</v>
      </c>
      <c r="D193" s="5"/>
      <c r="E193" s="119">
        <v>2851</v>
      </c>
      <c r="F193" s="5"/>
      <c r="G193" s="5"/>
      <c r="H193" s="140" t="s">
        <v>2689</v>
      </c>
      <c r="J193" s="5"/>
      <c r="K193" s="120">
        <v>41262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96" t="s">
        <v>2658</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2690</v>
      </c>
      <c r="J211" s="27" t="s">
        <v>2622</v>
      </c>
      <c r="K211" s="141" t="s">
        <v>2690</v>
      </c>
      <c r="L211" s="21"/>
      <c r="M211" s="21"/>
      <c r="N211" s="21"/>
      <c r="O211" s="8"/>
    </row>
    <row r="212" spans="1:15" x14ac:dyDescent="0.25">
      <c r="A212" s="9"/>
      <c r="B212" s="27" t="s">
        <v>2619</v>
      </c>
      <c r="C212" s="140" t="s">
        <v>2689</v>
      </c>
      <c r="D212" s="21"/>
      <c r="G212" s="27" t="s">
        <v>2621</v>
      </c>
      <c r="H212" s="141" t="s">
        <v>2691</v>
      </c>
      <c r="J212" s="27" t="s">
        <v>2623</v>
      </c>
      <c r="K212" s="140"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268" scale="27" fitToHeight="0" orientation="landscape" r:id="rId1"/>
  <rowBreaks count="2" manualBreakCount="2">
    <brk id="107" max="16383" man="1"/>
    <brk id="186" max="14" man="1"/>
  </rowBreaks>
  <colBreaks count="1" manualBreakCount="1">
    <brk id="15" max="1048575" man="1"/>
  </colBreaks>
  <ignoredErrors>
    <ignoredError sqref="B106:B107 D123:D160 M123:M160 G114:G121 L106:L107 G123:J160 L83:L90 G48:G90 B83:B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schemas.microsoft.com/office/infopath/2007/PartnerControls"/>
    <ds:schemaRef ds:uri="http://schemas.microsoft.com/office/2006/metadata/properties"/>
    <ds:schemaRef ds:uri="http://schemas.microsoft.com/office/2006/documentManagement/types"/>
    <ds:schemaRef ds:uri="http://purl.org/dc/elements/1.1/"/>
    <ds:schemaRef ds:uri="http://purl.org/dc/terms/"/>
    <ds:schemaRef ds:uri="http://purl.org/dc/dcmitype/"/>
    <ds:schemaRef ds:uri="http://schemas.openxmlformats.org/package/2006/metadata/core-properties"/>
    <ds:schemaRef ds:uri="4fb10211-09fb-4e80-9f0b-184718d5d98c"/>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2020-12-29T18:45:48Z</cp:lastPrinted>
  <dcterms:created xsi:type="dcterms:W3CDTF">2020-10-14T21:57:42Z</dcterms:created>
  <dcterms:modified xsi:type="dcterms:W3CDTF">2020-12-29T18:48:22Z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