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airo Vargas\Downloads\REDEZ INTEGRALES MANIFESTACION DE INTERES\"/>
    </mc:Choice>
  </mc:AlternateContent>
  <xr:revisionPtr revIDLastSave="0" documentId="13_ncr:1_{3EFDB5AA-5346-45C8-80F0-195904993F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355" yWindow="0" windowWidth="14445" windowHeight="150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<sst xmlns="http://schemas.openxmlformats.org/spreadsheetml/2006/main" count="3068" uniqueCount="2699">
  <si>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</si>
  <si>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</si>
  <si>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</si>
  <si>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</si>
  <si>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</si>
  <si>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</si>
  <si>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</si>
  <si>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</si>
  <si>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</si>
  <si>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</si>
  <si>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</si>
  <si>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</si>
  <si>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</si>
  <si>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</si>
  <si>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</si>
  <si>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</si>
  <si>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</si>
  <si>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</si>
  <si>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</si>
  <si>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</si>
  <si>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</si>
  <si>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</si>
  <si>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</si>
  <si>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</si>
  <si>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</si>
  <si>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</si>
  <si>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</si>
  <si>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</si>
  <si>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</si>
  <si>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</si>
  <si>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</si>
  <si>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</si>
  <si>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</si>
  <si>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</si>
  <si>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</si>
  <si>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</si>
  <si>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</si>
  <si>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</si>
  <si>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</si>
  <si>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</si>
  <si>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</si>
  <si>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</si>
  <si>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</si>
  <si>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</si>
  <si>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</si>
  <si>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</si>
  <si>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</si>
  <si>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</si>
  <si>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</si>
  <si>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</si>
  <si>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</si>
  <si>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</si>
  <si>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</si>
  <si>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</si>
  <si>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</si>
  <si>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</si>
  <si>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</si>
  <si>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</si>
  <si>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</si>
  <si>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</si>
  <si>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</si>
  <si>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</si>
  <si>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</si>
  <si>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</si>
  <si>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</si>
  <si>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</si>
  <si>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</si>
  <si>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</si>
  <si>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</si>
  <si>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</si>
  <si>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</si>
  <si>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</si>
  <si>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</si>
  <si>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</si>
  <si>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</si>
  <si>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</si>
  <si>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</si>
  <si>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</si>
  <si>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</si>
  <si>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</si>
  <si>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</si>
  <si>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</si>
  <si>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</si>
  <si>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</si>
  <si>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</si>
  <si>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</si>
  <si>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</si>
  <si>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</si>
  <si>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</si>
  <si>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</si>
  <si>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</si>
  <si>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</si>
  <si>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</si>
  <si>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</si>
  <si>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</si>
  <si>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</si>
  <si>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</si>
  <si>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</si>
  <si>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</si>
  <si>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</si>
  <si>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</si>
  <si>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</si>
  <si>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</si>
  <si>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</si>
  <si>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</si>
  <si>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</si>
  <si>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</si>
  <si>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</si>
  <si>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</si>
  <si>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</si>
  <si>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</si>
  <si>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</si>
  <si>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</si>
  <si>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</si>
  <si>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</si>
  <si>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</si>
  <si>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</si>
  <si>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</si>
  <si>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</si>
  <si>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</si>
  <si>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</si>
  <si>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</si>
  <si>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</si>
  <si>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</si>
  <si>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</si>
  <si>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</si>
  <si>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</si>
  <si>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</si>
  <si>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</si>
  <si>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</si>
  <si>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</si>
  <si>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</si>
  <si>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</si>
  <si>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</si>
  <si>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</si>
  <si>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</si>
  <si>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</si>
  <si>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</si>
  <si>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</si>
  <si>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</si>
  <si>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</si>
  <si>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</si>
  <si>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</si>
  <si>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</si>
  <si>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</si>
  <si>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</si>
  <si>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</si>
  <si>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</si>
  <si>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</si>
  <si>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</si>
  <si>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</si>
  <si>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</si>
  <si>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</si>
  <si>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</si>
  <si>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</si>
  <si>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</si>
  <si>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</si>
  <si>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</si>
  <si>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</si>
  <si>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</si>
  <si>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</si>
  <si>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</si>
  <si>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</si>
  <si>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</si>
  <si>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</si>
  <si>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</si>
  <si>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</si>
  <si>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</si>
  <si>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</si>
  <si>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</si>
  <si>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</si>
  <si>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</si>
  <si>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</si>
  <si>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</si>
  <si>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</si>
  <si>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</si>
  <si>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</si>
  <si>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</si>
  <si>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</si>
  <si>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</si>
  <si>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</si>
  <si>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</si>
  <si>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</si>
  <si>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</si>
  <si>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</si>
  <si>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</si>
  <si>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</si>
  <si>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</si>
  <si>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</si>
  <si>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</si>
  <si>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</si>
  <si>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</si>
  <si>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</si>
  <si>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</si>
  <si>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</si>
  <si>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</si>
  <si>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</si>
  <si>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</si>
  <si>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</si>
  <si>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</si>
  <si>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</si>
  <si>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</si>
  <si>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</si>
  <si>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</si>
  <si>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</si>
  <si>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</si>
  <si>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</si>
  <si>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</si>
  <si>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</si>
  <si>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</si>
  <si>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</si>
  <si>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</si>
  <si>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</si>
  <si>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</si>
  <si>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</si>
  <si>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</si>
  <si>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</si>
  <si>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</si>
  <si>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</si>
  <si>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</si>
  <si>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</si>
  <si>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</si>
  <si>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</si>
  <si>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</si>
  <si>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</si>
  <si>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</si>
  <si>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</si>
  <si>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</si>
  <si>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</si>
  <si>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</si>
  <si>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</si>
  <si>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</si>
  <si>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</si>
  <si>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</si>
  <si>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</si>
  <si>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</si>
  <si>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</si>
  <si>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</si>
  <si>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</si>
  <si>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</si>
  <si>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</si>
  <si>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</si>
  <si>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</si>
  <si>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</si>
  <si>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</si>
  <si>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</si>
  <si>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</si>
  <si>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</si>
  <si>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</si>
  <si>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</si>
  <si>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</si>
  <si>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</si>
  <si>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</si>
  <si>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</si>
  <si>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</si>
  <si>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</si>
  <si>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</si>
  <si>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</si>
  <si>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</si>
  <si>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</si>
  <si>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</si>
  <si>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</si>
  <si>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</si>
  <si>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</si>
  <si>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</si>
  <si>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</si>
  <si>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</si>
  <si>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</si>
  <si>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</si>
  <si>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</si>
  <si>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</si>
  <si>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</si>
  <si>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</si>
  <si>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</si>
  <si>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</si>
  <si>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</si>
  <si>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</si>
  <si>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</si>
  <si>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</si>
  <si>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</si>
  <si>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</si>
  <si>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</si>
  <si>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</si>
  <si>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</si>
  <si>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</si>
  <si>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</si>
  <si>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</si>
  <si>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</si>
  <si>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</si>
  <si>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</si>
  <si>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</si>
  <si>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</si>
  <si>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</si>
  <si>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</si>
  <si>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</si>
  <si>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</si>
  <si>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</si>
  <si>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</si>
  <si>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</si>
  <si>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</si>
  <si>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</si>
  <si>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</si>
  <si>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</si>
  <si>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</si>
  <si>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</si>
  <si>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</si>
  <si>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</si>
  <si>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</si>
  <si>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</si>
  <si>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</si>
  <si>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</si>
  <si>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</si>
  <si>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</si>
  <si>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</si>
  <si>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</si>
  <si>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</si>
  <si>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</si>
  <si>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</si>
  <si>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</si>
  <si>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</si>
  <si>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</si>
  <si>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</si>
  <si>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</si>
  <si>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</si>
  <si>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</si>
  <si>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</si>
  <si>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</si>
  <si>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</si>
  <si>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</si>
  <si>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</si>
  <si>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</si>
  <si>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</si>
  <si>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</si>
  <si>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</si>
  <si>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</si>
  <si>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</si>
  <si>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</si>
  <si>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</si>
  <si>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</si>
  <si>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</si>
  <si>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</si>
  <si>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</si>
  <si>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</si>
  <si>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</si>
  <si>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</si>
  <si>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</si>
  <si>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</si>
  <si>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</si>
  <si>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</si>
  <si>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</si>
  <si>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</si>
  <si>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</si>
  <si>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</si>
  <si>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</si>
  <si>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</si>
  <si>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</si>
  <si>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</si>
  <si>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</si>
  <si>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</si>
  <si>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</si>
  <si>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</si>
  <si>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</si>
  <si>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</si>
  <si>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</si>
  <si>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</si>
  <si>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</si>
  <si>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</si>
  <si>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</si>
  <si>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</si>
  <si>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</si>
  <si>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</si>
  <si>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</si>
  <si>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</si>
  <si>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</si>
  <si>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</si>
  <si>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</si>
  <si>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</si>
  <si>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</si>
  <si>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</si>
  <si>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</si>
  <si>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</si>
  <si>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</si>
  <si>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</si>
  <si>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</si>
  <si>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</si>
  <si>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</si>
  <si>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</si>
  <si>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</si>
  <si>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</si>
  <si>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</si>
  <si>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</si>
  <si>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</si>
  <si>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</si>
  <si>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</si>
  <si>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</si>
  <si>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</si>
  <si>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</si>
  <si>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</si>
  <si>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</si>
  <si>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</si>
  <si>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</si>
  <si>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</si>
  <si>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</si>
  <si>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</si>
  <si>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</si>
  <si>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</si>
  <si>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</si>
  <si>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</si>
  <si>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</si>
  <si>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</si>
  <si>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</si>
  <si>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</si>
  <si>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</si>
  <si>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</si>
  <si>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</si>
  <si>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</si>
  <si>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</si>
  <si>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</si>
  <si>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</si>
  <si>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</si>
  <si>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</si>
  <si>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</si>
  <si>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</si>
  <si>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</si>
  <si>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</si>
  <si>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</si>
  <si>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</si>
  <si>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</si>
  <si>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</si>
  <si>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</si>
  <si>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</si>
  <si>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</si>
  <si>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</si>
  <si>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</si>
  <si>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</si>
  <si>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</si>
  <si>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</si>
  <si>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</si>
  <si>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</si>
  <si>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</si>
  <si>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</si>
  <si>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</si>
  <si>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</si>
  <si>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</si>
  <si>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</si>
  <si>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</si>
  <si>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</si>
  <si>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</si>
  <si>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</si>
  <si>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</si>
  <si>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</si>
  <si>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</si>
  <si>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</si>
  <si>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</si>
  <si>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</si>
  <si>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</si>
  <si>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</si>
  <si>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</si>
  <si>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</si>
  <si>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</si>
  <si>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</si>
  <si>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</si>
  <si>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</si>
  <si>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</si>
  <si>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</si>
  <si>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</si>
  <si>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</si>
  <si>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</si>
  <si>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</si>
  <si>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</si>
  <si>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</si>
  <si>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</si>
  <si>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</si>
  <si>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</si>
  <si>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</si>
  <si>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</si>
  <si>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</si>
  <si>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</si>
  <si>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</si>
  <si>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</si>
  <si>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</si>
  <si>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</si>
  <si>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</si>
  <si>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</si>
  <si>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</si>
  <si>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</si>
  <si>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</si>
  <si>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</si>
  <si>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</si>
  <si>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</si>
  <si>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</si>
  <si>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</si>
  <si>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</si>
  <si>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</si>
  <si>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</si>
  <si>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</si>
  <si>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</si>
  <si>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</si>
  <si>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</si>
  <si>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</si>
  <si>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</si>
  <si>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</si>
  <si>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</si>
  <si>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</si>
  <si>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</si>
  <si>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</si>
  <si>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</si>
  <si>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</si>
  <si>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</si>
  <si>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</si>
  <si>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</si>
  <si>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</si>
  <si>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</si>
  <si>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</si>
  <si>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</si>
  <si>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</si>
  <si>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</si>
  <si>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</si>
  <si>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</si>
  <si>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</si>
  <si>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</si>
  <si>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</si>
  <si>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</si>
  <si>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</si>
  <si>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</si>
  <si>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</si>
  <si>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</si>
  <si>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</si>
  <si>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</si>
  <si>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</si>
  <si>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</si>
  <si>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</si>
  <si>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</si>
  <si>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</si>
  <si>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</si>
  <si>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</si>
  <si>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</si>
  <si>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</si>
  <si>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</si>
  <si>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</si>
  <si>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</si>
  <si>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</si>
  <si>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</si>
  <si>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</si>
  <si>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</si>
  <si>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</si>
  <si>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</si>
  <si>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</si>
  <si>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</si>
  <si>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</si>
  <si>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</si>
  <si>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</si>
  <si>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</si>
  <si>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</si>
  <si>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</si>
  <si>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</si>
  <si>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</si>
  <si>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</si>
  <si>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</si>
  <si>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</si>
  <si>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</si>
  <si>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</si>
  <si>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</si>
  <si>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</si>
  <si>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</si>
  <si>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</si>
  <si>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</si>
  <si>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</si>
  <si>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</si>
  <si>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</si>
  <si>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</si>
  <si>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</si>
  <si>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</si>
  <si>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</si>
  <si>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</si>
  <si>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</si>
  <si>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</si>
  <si>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</si>
  <si>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</si>
  <si>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</si>
  <si>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</si>
  <si>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</si>
  <si>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</si>
  <si>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</si>
  <si>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</si>
  <si>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</si>
  <si>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</si>
  <si>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</si>
  <si>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</si>
  <si>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</si>
  <si>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</si>
  <si>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</si>
  <si>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</si>
  <si>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</si>
  <si>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</si>
  <si>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</si>
  <si>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</si>
  <si>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</si>
  <si>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</si>
  <si>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</si>
  <si>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</si>
  <si>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</si>
  <si>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</si>
  <si>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</si>
  <si>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</si>
  <si>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</si>
  <si>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</si>
  <si>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</si>
  <si>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</si>
  <si>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</si>
  <si>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</si>
  <si>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</si>
  <si>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</si>
  <si>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</si>
  <si>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</si>
  <si>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</si>
  <si>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</si>
  <si>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</si>
  <si>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</si>
  <si>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</si>
  <si>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</si>
  <si>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</si>
  <si>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</si>
  <si>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</si>
  <si>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</si>
  <si>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</si>
  <si>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</si>
  <si>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</si>
  <si>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</si>
  <si>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</si>
  <si>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</si>
  <si>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</si>
  <si>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</si>
  <si>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</si>
  <si>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</si>
  <si>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</si>
  <si>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</si>
  <si>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</si>
  <si>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</si>
  <si>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</si>
  <si>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</si>
  <si>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</si>
  <si>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</si>
  <si>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</si>
  <si>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</si>
  <si>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</si>
  <si>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</si>
  <si>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</si>
  <si>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</si>
  <si>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</si>
  <si>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</si>
  <si>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</si>
  <si>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</si>
  <si>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</si>
  <si>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</si>
  <si>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</si>
  <si>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</si>
  <si>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</si>
  <si>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</si>
  <si>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</si>
  <si>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</si>
  <si>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</si>
  <si>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</si>
  <si>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</si>
  <si>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</si>
  <si>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</si>
  <si>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</si>
  <si>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</si>
  <si>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</si>
  <si>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</si>
  <si>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</si>
  <si>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</si>
  <si>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</si>
  <si>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</si>
  <si>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</si>
  <si>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</si>
  <si>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</si>
  <si>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</si>
  <si>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</si>
  <si>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</si>
  <si>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</si>
  <si>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</si>
  <si>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</si>
  <si>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</si>
  <si>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</si>
  <si>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</si>
  <si>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</si>
  <si>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</si>
  <si>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</si>
  <si>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</si>
  <si>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</si>
  <si>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</si>
  <si>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</si>
  <si>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</si>
  <si>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</si>
  <si>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</si>
  <si>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</si>
  <si>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</si>
  <si>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</si>
  <si>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</si>
  <si>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</si>
  <si>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</si>
  <si>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</si>
  <si>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</si>
  <si>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</si>
  <si>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</si>
  <si>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</si>
  <si>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</si>
  <si>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</si>
  <si>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</si>
  <si>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</si>
  <si>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</si>
  <si>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</si>
  <si>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</si>
  <si>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</si>
  <si>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</si>
  <si>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</si>
  <si>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</si>
  <si>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</si>
  <si>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</si>
  <si>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</si>
  <si>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</si>
  <si>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</si>
  <si>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</si>
  <si>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</si>
  <si>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</si>
  <si>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</si>
  <si>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</si>
  <si>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</si>
  <si>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</si>
  <si>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</si>
  <si>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</si>
  <si>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</si>
  <si>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</si>
  <si>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</si>
  <si>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</si>
  <si>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</si>
  <si>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</si>
  <si>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</si>
  <si>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</si>
  <si>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</si>
  <si>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</si>
  <si>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</si>
  <si>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</si>
  <si>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</si>
  <si>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</si>
  <si>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</si>
  <si>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</si>
  <si>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</si>
  <si>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</si>
  <si>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</si>
  <si>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</si>
  <si>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</si>
  <si>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</si>
  <si>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</si>
  <si>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</si>
  <si>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</si>
  <si>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</si>
  <si>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</si>
  <si>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</si>
  <si>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</si>
  <si>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</si>
  <si>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</si>
  <si>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</si>
  <si>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</si>
  <si>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</si>
  <si>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</si>
  <si>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</si>
  <si>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</si>
  <si>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</si>
  <si>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</si>
  <si>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</si>
  <si>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</si>
  <si>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</si>
  <si>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</si>
  <si>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</si>
  <si>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</si>
  <si>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</si>
  <si>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</si>
  <si>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</si>
  <si>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</si>
  <si>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</si>
  <si>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</si>
  <si>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</si>
  <si>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</si>
  <si>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</si>
  <si>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</si>
  <si>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</si>
  <si>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</si>
  <si>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</si>
  <si>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</si>
  <si>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</si>
  <si>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</si>
  <si>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</si>
  <si>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</si>
  <si>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</si>
  <si>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</si>
  <si>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</si>
  <si>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</si>
  <si>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</si>
  <si>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</si>
  <si>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</si>
  <si>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</si>
  <si>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</si>
  <si>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</si>
  <si>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</si>
  <si>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</si>
  <si>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</si>
  <si>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</si>
  <si>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</si>
  <si>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</si>
  <si>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</si>
  <si>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</si>
  <si>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</si>
  <si>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</si>
  <si>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</si>
  <si>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</si>
  <si>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</si>
  <si>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</si>
  <si>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</si>
  <si>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</si>
  <si>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</si>
  <si>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</si>
  <si>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</si>
  <si>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</si>
  <si>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</si>
  <si>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</si>
  <si>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</si>
  <si>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</si>
  <si>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</si>
  <si>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</si>
  <si>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</si>
  <si>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</si>
  <si>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</si>
  <si>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</si>
  <si>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</si>
  <si>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</si>
  <si>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</si>
  <si>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</si>
  <si>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</si>
  <si>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</si>
  <si>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</si>
  <si>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</si>
  <si>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</si>
  <si>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</si>
  <si>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</si>
  <si>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</si>
  <si>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</si>
  <si>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</si>
  <si>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</si>
  <si>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</si>
  <si>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</si>
  <si>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</si>
  <si>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</si>
  <si>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</si>
  <si>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</si>
  <si>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</si>
  <si>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</si>
  <si>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</si>
  <si>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</si>
  <si>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</si>
  <si>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</si>
  <si>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</si>
  <si>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</si>
  <si>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</si>
  <si>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</si>
  <si>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</si>
  <si>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</si>
  <si>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</si>
  <si>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</si>
  <si>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</si>
  <si>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</si>
  <si>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</si>
  <si>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</si>
  <si>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</si>
  <si>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</si>
  <si>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</si>
  <si>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</si>
  <si>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</si>
  <si>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</si>
  <si>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</si>
  <si>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</si>
  <si>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</si>
  <si>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</si>
  <si>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</si>
  <si>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</si>
  <si>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</si>
  <si>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</si>
  <si>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</si>
  <si>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</si>
  <si>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</si>
  <si>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</si>
  <si>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</si>
  <si>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</si>
  <si>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</si>
  <si>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</si>
  <si>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</si>
  <si>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</si>
  <si>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</si>
  <si>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</si>
  <si>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</si>
  <si>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</si>
  <si>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</si>
  <si>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</si>
  <si>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</si>
  <si>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</si>
  <si>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</si>
  <si>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</si>
  <si>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</si>
  <si>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</si>
  <si>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</si>
  <si>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</si>
  <si>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</si>
  <si>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</si>
  <si>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</si>
  <si>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</si>
  <si>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</si>
  <si>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</si>
  <si>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</si>
  <si>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</si>
  <si>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</si>
  <si>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</si>
  <si>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</si>
  <si>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</si>
  <si>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</si>
  <si>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</si>
  <si>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</si>
  <si>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</si>
  <si>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</si>
  <si>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</si>
  <si>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</si>
  <si>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</si>
  <si>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</si>
  <si>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</si>
  <si>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</si>
  <si>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</si>
  <si>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</si>
  <si>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</si>
  <si>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</si>
  <si>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</si>
  <si>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</si>
  <si>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</si>
  <si>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</si>
  <si>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</si>
  <si>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</si>
  <si>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</si>
  <si>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</si>
  <si>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</si>
  <si>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</si>
  <si>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</si>
  <si>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</si>
  <si>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</si>
  <si>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</si>
  <si>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</si>
  <si>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</si>
  <si>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</si>
  <si>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</si>
  <si>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</si>
  <si>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</si>
  <si>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</si>
  <si>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</si>
  <si>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</si>
  <si>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</si>
  <si>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</si>
  <si>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</si>
  <si>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</si>
  <si>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</si>
  <si>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</si>
  <si>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</si>
  <si>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</si>
  <si>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</si>
  <si>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</si>
  <si>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</si>
  <si>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</si>
  <si>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</si>
  <si>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</si>
  <si>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</si>
  <si>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</si>
  <si>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</si>
  <si>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</si>
  <si>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</si>
  <si>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</si>
  <si>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</si>
  <si>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</si>
  <si>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</si>
  <si>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</si>
  <si>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</si>
  <si>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</si>
  <si>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</si>
  <si>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</si>
  <si>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</si>
  <si>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</si>
  <si>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</si>
  <si>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</si>
  <si>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</si>
  <si>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</si>
  <si>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</si>
  <si>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</si>
  <si>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</si>
  <si>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</si>
  <si>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</si>
  <si>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</si>
  <si>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</si>
  <si>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</si>
  <si>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</si>
  <si>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</si>
  <si>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</si>
  <si>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</si>
  <si>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</si>
  <si>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</si>
  <si>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</si>
  <si>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</si>
  <si>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</si>
  <si>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</si>
  <si>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</si>
  <si>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</si>
  <si>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</si>
  <si>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</si>
  <si>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</si>
  <si>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</si>
  <si>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</si>
  <si>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</si>
  <si>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</si>
  <si>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</si>
  <si>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</si>
  <si>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</si>
  <si>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</si>
  <si>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</si>
  <si>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</si>
  <si>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</si>
  <si>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</si>
  <si>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</si>
  <si>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</si>
  <si>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</si>
  <si>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</si>
  <si>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</si>
  <si>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</si>
  <si>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</si>
  <si>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</si>
  <si>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</si>
  <si>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</si>
  <si>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</si>
  <si>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</si>
  <si>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</si>
  <si>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</si>
  <si>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</si>
  <si>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</si>
  <si>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</si>
  <si>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</si>
  <si>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</si>
  <si>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</si>
  <si>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</si>
  <si>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</si>
  <si>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</si>
  <si>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</si>
  <si>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</si>
  <si>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</si>
  <si>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</si>
  <si>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</si>
  <si>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</si>
  <si>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</si>
  <si>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</si>
  <si>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</si>
  <si>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</si>
  <si>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</si>
  <si>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</si>
  <si>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</si>
  <si>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</si>
  <si>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</si>
  <si>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</si>
  <si>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</si>
  <si>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</si>
  <si>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</si>
  <si>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</si>
  <si>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</si>
  <si>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</si>
  <si>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</si>
  <si>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</si>
  <si>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</si>
  <si>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</si>
  <si>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</si>
  <si>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</si>
  <si>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</si>
  <si>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</si>
  <si>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</si>
  <si>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</si>
  <si>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</si>
  <si>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</si>
  <si>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</si>
  <si>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</si>
  <si>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</si>
  <si>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</si>
  <si>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</si>
  <si>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</si>
  <si>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</si>
  <si>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</si>
  <si>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</si>
  <si>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</si>
  <si>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</si>
  <si>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</si>
  <si>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</si>
  <si>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</si>
  <si>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</si>
  <si>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</si>
  <si>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</si>
  <si>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</si>
  <si>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</si>
  <si>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</si>
  <si>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</si>
  <si>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</si>
  <si>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</si>
  <si>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</si>
  <si>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</si>
  <si>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</si>
  <si>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</si>
  <si>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</si>
  <si>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</si>
  <si>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</si>
  <si>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</si>
  <si>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</si>
  <si>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</si>
  <si>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</si>
  <si>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</si>
  <si>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</si>
  <si>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</si>
  <si>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</si>
  <si>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</si>
  <si>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</si>
  <si>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</si>
  <si>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</si>
  <si>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</si>
  <si>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</si>
  <si>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</si>
  <si>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</si>
  <si>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</si>
  <si>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</si>
  <si>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</si>
  <si>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</si>
  <si>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</si>
  <si>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</si>
  <si>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</si>
  <si>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</si>
  <si>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</si>
  <si>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</si>
  <si>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</si>
  <si>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</si>
  <si>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</si>
  <si>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</si>
  <si>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</si>
  <si>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</si>
  <si>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</si>
  <si>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</si>
  <si>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</si>
  <si>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</si>
  <si>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</si>
  <si>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</si>
  <si>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</si>
  <si>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</si>
  <si>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</si>
  <si>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</si>
  <si>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</si>
  <si>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</si>
  <si>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</si>
  <si>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</si>
  <si>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</si>
  <si>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</si>
  <si>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</si>
  <si>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</si>
  <si>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</si>
  <si>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</si>
  <si>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</si>
  <si>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</si>
  <si>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</si>
  <si>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</si>
  <si>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</si>
  <si>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</si>
  <si>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</si>
  <si>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</si>
  <si>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</si>
  <si>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</si>
  <si>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</si>
  <si>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</si>
  <si>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</si>
  <si>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</si>
  <si>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</si>
  <si>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</si>
  <si>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</si>
  <si>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</si>
  <si>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</si>
  <si>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</si>
  <si>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</si>
  <si>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</si>
  <si>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</si>
  <si>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</si>
  <si>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</si>
  <si>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</si>
  <si>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</si>
  <si>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</si>
  <si>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</si>
  <si>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</si>
  <si>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</si>
  <si>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</si>
  <si>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</si>
  <si>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</si>
  <si>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</si>
  <si>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</si>
  <si>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</si>
  <si>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</si>
  <si>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</si>
  <si>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</si>
  <si>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</si>
  <si>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</si>
  <si>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</si>
  <si>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</si>
  <si>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</si>
  <si>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</si>
  <si>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</si>
  <si>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</si>
  <si>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</si>
  <si>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</si>
  <si>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</si>
  <si>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</si>
  <si>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</si>
  <si>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</si>
  <si>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</si>
  <si>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</si>
  <si>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</si>
  <si>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</si>
  <si>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</si>
  <si>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</si>
  <si>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</si>
  <si>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</si>
  <si>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</si>
  <si>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</si>
  <si>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</si>
  <si>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</si>
  <si>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</si>
  <si>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</si>
  <si>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</si>
  <si>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</si>
  <si>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</si>
  <si>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</si>
  <si>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</si>
  <si>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</si>
  <si>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</si>
  <si>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</si>
  <si>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</si>
  <si>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</si>
  <si>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</si>
  <si>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</si>
  <si>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</si>
  <si>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</si>
  <si>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</si>
  <si>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</si>
  <si>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</si>
  <si>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</si>
  <si>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</si>
  <si>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</si>
  <si>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</si>
  <si>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</si>
  <si>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</si>
  <si>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</si>
  <si>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</si>
  <si>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</si>
  <si>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</si>
  <si>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</si>
  <si>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</si>
  <si>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</si>
  <si>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</si>
  <si>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</si>
  <si>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</si>
  <si>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</si>
  <si>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</si>
  <si>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</si>
  <si>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</si>
  <si>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</si>
  <si>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</si>
  <si>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</si>
  <si>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</si>
  <si>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</si>
  <si>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</si>
  <si>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</si>
  <si>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</si>
  <si>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</si>
  <si>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</si>
  <si>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</si>
  <si>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</si>
  <si>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</si>
  <si>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</si>
  <si>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</si>
  <si>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</si>
  <si>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</si>
  <si>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</si>
  <si>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</si>
  <si>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</si>
  <si>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</si>
  <si>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</si>
  <si>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</si>
  <si>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</si>
  <si>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</si>
  <si>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</si>
  <si>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</si>
  <si>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</si>
  <si>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</si>
  <si>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</si>
  <si>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</si>
  <si>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</si>
  <si>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</si>
  <si>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</si>
  <si>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</si>
  <si>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</si>
  <si>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</si>
  <si>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</si>
  <si>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</si>
  <si>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</si>
  <si>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</si>
  <si>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</si>
  <si>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</si>
  <si>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</si>
  <si>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</si>
  <si>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</si>
  <si>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</si>
  <si>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</si>
  <si>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</si>
  <si>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</si>
  <si>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</si>
  <si>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</si>
  <si>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</si>
  <si>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</si>
  <si>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</si>
  <si>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</si>
  <si>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</si>
  <si>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</si>
  <si>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</si>
  <si>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</si>
  <si>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</si>
  <si>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</si>
  <si>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</si>
  <si>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</si>
  <si>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</si>
  <si>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</si>
  <si>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</si>
  <si>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</si>
  <si>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</si>
  <si>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</si>
  <si>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</si>
  <si>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</si>
  <si>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</si>
  <si>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</si>
  <si>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</si>
  <si>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</si>
  <si>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</si>
  <si>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</si>
  <si>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</si>
  <si>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</si>
  <si>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</si>
  <si>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</si>
  <si>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</si>
  <si>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</si>
  <si>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</si>
  <si>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</si>
  <si>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</si>
  <si>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</si>
  <si>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</si>
  <si>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</si>
  <si>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</si>
  <si>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</si>
  <si>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</si>
  <si>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</si>
  <si>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</si>
  <si>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</si>
  <si>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</si>
  <si>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</si>
  <si>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</si>
  <si>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</si>
  <si>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</si>
  <si>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</si>
  <si>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</si>
  <si>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</si>
  <si>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</si>
  <si>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</si>
  <si>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</si>
  <si>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</si>
  <si>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</si>
  <si>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</si>
  <si>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</si>
  <si>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</si>
  <si>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</si>
  <si>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</si>
  <si>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</si>
  <si>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</si>
  <si>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</si>
  <si>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</si>
  <si>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</si>
  <si>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</si>
  <si>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</si>
  <si>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</si>
  <si>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</si>
  <si>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</si>
  <si>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</si>
  <si>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</si>
  <si>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</si>
  <si>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</si>
  <si>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</si>
  <si>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</si>
  <si>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</si>
  <si>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</si>
  <si>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</si>
  <si>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</si>
  <si>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</si>
  <si>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</si>
  <si>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</si>
  <si>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</si>
  <si>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</si>
  <si>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</si>
  <si>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</si>
  <si>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</si>
  <si>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</si>
  <si>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</si>
  <si>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</si>
  <si>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</si>
  <si>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</si>
  <si>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</si>
  <si>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</si>
  <si>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</si>
  <si>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</si>
  <si>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</si>
  <si>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</si>
  <si>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</si>
  <si>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</si>
  <si>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</si>
  <si>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</si>
  <si>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</si>
  <si>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</si>
  <si>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</si>
  <si>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</si>
  <si>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</si>
  <si>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</si>
  <si>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</si>
  <si>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</si>
  <si>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</si>
  <si>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</si>
  <si>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</si>
  <si>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</si>
  <si>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</si>
  <si>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</si>
  <si>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</si>
  <si>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</si>
  <si>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</si>
  <si>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</si>
  <si>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</si>
  <si>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</si>
  <si>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</si>
  <si>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</si>
  <si>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</si>
  <si>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</si>
  <si>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</si>
  <si>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</si>
  <si>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</si>
  <si>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</si>
  <si>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</si>
  <si>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</si>
  <si>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</si>
  <si>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</si>
  <si>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</si>
  <si>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</si>
  <si>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</si>
  <si>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</si>
  <si>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</si>
  <si>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</si>
  <si>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</si>
  <si>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</si>
  <si>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</si>
  <si>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</si>
  <si>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</si>
  <si>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</si>
  <si>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</si>
  <si>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</si>
  <si>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</si>
  <si>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</si>
  <si>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</si>
  <si>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</si>
  <si>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</si>
  <si>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</si>
  <si>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</si>
  <si>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</si>
  <si>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</si>
  <si>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</si>
  <si>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</si>
  <si>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</si>
  <si>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</si>
  <si>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</si>
  <si>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</si>
  <si>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</si>
  <si>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</si>
  <si>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</si>
  <si>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</si>
  <si>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</si>
  <si>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</si>
  <si>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</si>
  <si>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</si>
  <si>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</si>
  <si>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</si>
  <si>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</si>
  <si>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</si>
  <si>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</si>
  <si>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</si>
  <si>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</si>
  <si>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</si>
  <si>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</si>
  <si>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</si>
  <si>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</si>
  <si>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</si>
  <si>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</si>
  <si>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</si>
  <si>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</si>
  <si>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</si>
  <si>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</si>
  <si>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</si>
  <si>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</si>
  <si>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</si>
  <si>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</si>
  <si>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</si>
  <si>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</si>
  <si>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</si>
  <si>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</si>
  <si>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</si>
  <si>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</si>
  <si>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</si>
  <si>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</si>
  <si>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</si>
  <si>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</si>
  <si>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</si>
  <si>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</si>
  <si>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</si>
  <si>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</si>
  <si>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</si>
  <si>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</si>
  <si>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</si>
  <si>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</si>
  <si>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</si>
  <si>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</si>
  <si>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</si>
  <si>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</si>
  <si>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</si>
  <si>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</si>
  <si>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</si>
  <si>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</si>
  <si>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</si>
  <si>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</si>
  <si>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</si>
  <si>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</si>
  <si>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</si>
  <si>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</si>
  <si>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</si>
  <si>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</si>
  <si>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</si>
  <si>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</si>
  <si>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</si>
  <si>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</si>
  <si>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</si>
  <si>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</si>
  <si>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</si>
  <si>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</si>
  <si>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</si>
  <si>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</si>
  <si>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</si>
  <si>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</si>
  <si>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</si>
  <si>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</si>
  <si>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</si>
  <si>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</si>
  <si>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</si>
  <si>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</si>
  <si>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</si>
  <si>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</si>
  <si>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</si>
  <si>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</si>
  <si>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</si>
  <si>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</si>
  <si>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</si>
  <si>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</si>
  <si>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</si>
  <si>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</si>
  <si>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</si>
  <si>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</si>
  <si>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</si>
  <si>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</si>
  <si>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</si>
  <si>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</si>
  <si>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</si>
  <si>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</si>
  <si>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</si>
  <si>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</si>
  <si>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</si>
  <si>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</si>
  <si>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</si>
  <si>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</si>
  <si>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</si>
  <si>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</si>
  <si>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</si>
  <si>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</si>
  <si>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</si>
  <si>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</si>
  <si>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</si>
  <si>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</si>
  <si>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</si>
  <si>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</si>
  <si>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</si>
  <si>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</si>
  <si>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</si>
  <si>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</si>
  <si>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</si>
  <si>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</si>
  <si>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</si>
  <si>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</si>
  <si>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</si>
  <si>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</si>
  <si>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</si>
  <si>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</si>
  <si>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</si>
  <si>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</si>
  <si>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</si>
  <si>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</si>
  <si>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</si>
  <si>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</si>
  <si>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</si>
  <si>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</si>
  <si>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</si>
  <si>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</si>
  <si>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</si>
  <si>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</si>
  <si>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</si>
  <si>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</si>
  <si>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</si>
  <si>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</si>
  <si>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</si>
  <si>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</si>
  <si>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</si>
  <si>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</si>
  <si>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</si>
  <si>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</si>
  <si>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</si>
  <si>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</si>
  <si>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</si>
  <si>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</si>
  <si>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</si>
  <si>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</si>
  <si>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</si>
  <si>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</si>
  <si>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</si>
  <si>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</si>
  <si>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</si>
  <si>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</si>
  <si>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</si>
  <si>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</si>
  <si>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</si>
  <si>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</si>
  <si>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</si>
  <si>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</si>
  <si>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</si>
  <si>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</si>
  <si>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</si>
  <si>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</si>
  <si>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</si>
  <si>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</si>
  <si>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</si>
  <si>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</si>
  <si>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</si>
  <si>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</si>
  <si>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</si>
  <si>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</si>
  <si>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</si>
  <si>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</si>
  <si>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</si>
  <si>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</si>
  <si>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</si>
  <si>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</si>
  <si>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</si>
  <si>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</si>
  <si>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</si>
  <si>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</si>
  <si>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</si>
  <si>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</si>
  <si>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</si>
  <si>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</si>
  <si>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</si>
  <si>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</si>
  <si>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</si>
  <si>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</si>
  <si>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</si>
  <si>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</si>
  <si>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</si>
  <si>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</si>
  <si>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</si>
  <si>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</si>
  <si>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</si>
  <si>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</si>
  <si>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</si>
  <si>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</si>
  <si>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</si>
  <si>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</si>
  <si>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</si>
  <si>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</si>
  <si>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</si>
  <si>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</si>
  <si>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</si>
  <si>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</si>
  <si>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</si>
  <si>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</si>
  <si>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</si>
  <si>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</si>
  <si>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</si>
  <si>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</si>
  <si>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</si>
  <si>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</si>
  <si>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</si>
  <si>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</si>
  <si>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</si>
  <si>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</si>
  <si>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</si>
  <si>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</si>
  <si>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</si>
  <si>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</si>
  <si>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</si>
  <si>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</si>
  <si>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</si>
  <si>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</si>
  <si>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</si>
  <si>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</si>
  <si>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</si>
  <si>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</si>
  <si>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</si>
  <si>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</si>
  <si>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</si>
  <si>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</si>
  <si>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</si>
  <si>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</si>
  <si>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</si>
  <si>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</si>
  <si>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</si>
  <si>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</si>
  <si>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</si>
  <si>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</si>
  <si>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</si>
  <si>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</si>
  <si>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</si>
  <si>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</si>
  <si>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</si>
  <si>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</si>
  <si>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</si>
  <si>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</si>
  <si>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</si>
  <si>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</si>
  <si>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</si>
  <si>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</si>
  <si>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</si>
  <si>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</si>
  <si>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</si>
  <si>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</si>
  <si>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</si>
  <si>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</si>
  <si>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</si>
  <si>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</si>
  <si>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</si>
  <si>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</si>
  <si>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</si>
  <si>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</si>
  <si>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</si>
  <si>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</si>
  <si>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</si>
  <si>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</si>
  <si>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</si>
  <si>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</si>
  <si>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</si>
  <si>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</si>
  <si>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</si>
  <si>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</si>
  <si>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</si>
  <si>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</si>
  <si>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</si>
  <si>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</si>
  <si>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</si>
  <si>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</si>
  <si>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</si>
  <si>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</si>
  <si>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</si>
  <si>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</si>
  <si>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</si>
  <si>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</si>
  <si>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</si>
  <si>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</si>
  <si>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</si>
  <si>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</si>
  <si>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</si>
  <si>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</si>
  <si>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</si>
  <si>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</si>
  <si>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</si>
  <si>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</si>
  <si>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</si>
  <si>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</si>
  <si>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</si>
  <si>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</si>
  <si>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</si>
  <si>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</si>
  <si>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</si>
  <si>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</si>
  <si>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</si>
  <si>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</si>
  <si>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</si>
  <si>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</si>
  <si>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</si>
  <si>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</si>
  <si>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</si>
  <si>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</si>
  <si>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</si>
  <si>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</si>
  <si>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</si>
  <si>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</si>
  <si>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</si>
  <si>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</si>
  <si>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</si>
  <si>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</si>
  <si>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</si>
  <si>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</si>
  <si>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</si>
  <si>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</si>
  <si>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</si>
  <si>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</si>
  <si>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</si>
  <si>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</si>
  <si>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</si>
  <si>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</si>
  <si>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</si>
  <si>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</si>
  <si>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</si>
  <si>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</si>
  <si>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</si>
  <si>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</si>
  <si>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</si>
  <si>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</si>
  <si>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</si>
  <si>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</si>
  <si>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</si>
  <si>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</si>
  <si>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</si>
  <si>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</si>
  <si>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</si>
  <si>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</si>
  <si>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</si>
  <si>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</si>
  <si>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</si>
  <si>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</si>
  <si>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</si>
  <si>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</si>
  <si>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</si>
  <si>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</si>
  <si>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</si>
  <si>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</si>
  <si>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</si>
  <si>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</si>
  <si>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</si>
  <si>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</si>
  <si>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</si>
  <si>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</si>
  <si>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</si>
  <si>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</si>
  <si>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</si>
  <si>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</si>
  <si>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</si>
  <si>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</si>
  <si>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</si>
  <si>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</si>
  <si>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</si>
  <si>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</si>
  <si>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</si>
  <si>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</si>
  <si>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</si>
  <si>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</si>
  <si>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</si>
  <si>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</si>
  <si>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</si>
  <si>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</si>
  <si>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</si>
  <si>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</si>
  <si>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</si>
  <si>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</si>
  <si>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</si>
  <si>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</si>
  <si>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</si>
  <si>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</si>
  <si>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</si>
  <si>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</si>
  <si>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</si>
  <si>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</si>
  <si>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</si>
  <si>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</si>
  <si>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</si>
  <si>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</si>
  <si>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</si>
  <si>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</si>
  <si>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</si>
  <si>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</si>
  <si>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</si>
  <si>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</si>
  <si>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</si>
  <si>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</si>
  <si>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</si>
  <si>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</si>
  <si>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</si>
  <si>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</si>
  <si>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</si>
  <si>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</si>
  <si>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</si>
  <si>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</si>
  <si>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</si>
  <si>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</si>
  <si>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</si>
  <si>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</si>
  <si>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</si>
  <si>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</si>
  <si>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</si>
  <si>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</si>
  <si>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</si>
  <si>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</si>
  <si>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</si>
  <si>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</si>
  <si>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</si>
  <si>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</si>
  <si>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</si>
  <si>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</si>
  <si>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</si>
  <si>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</si>
  <si>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</si>
  <si>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</si>
  <si>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</si>
  <si>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</si>
  <si>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</si>
  <si>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</si>
  <si>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</si>
  <si>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</si>
  <si>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</si>
  <si>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</si>
  <si>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</si>
  <si>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</si>
  <si>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</si>
  <si>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</si>
  <si>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</si>
  <si>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</si>
  <si>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</si>
  <si>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</si>
  <si>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</si>
  <si>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</si>
  <si>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</si>
  <si>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</si>
  <si>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</si>
  <si>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</si>
  <si>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</si>
  <si>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</si>
  <si>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</si>
  <si>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</si>
  <si>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</si>
  <si>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</si>
  <si>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</si>
  <si>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</si>
  <si>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</si>
  <si>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</si>
  <si>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</si>
  <si>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</si>
  <si>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</si>
  <si>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</si>
  <si>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</si>
  <si>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</si>
  <si>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</si>
  <si>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</si>
  <si>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</si>
  <si>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</si>
  <si>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</si>
  <si>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</si>
  <si>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</si>
  <si>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</si>
  <si>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</si>
  <si>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</si>
  <si>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</si>
  <si>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</si>
  <si>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</si>
  <si>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</si>
  <si>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</si>
  <si>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</si>
  <si>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</si>
  <si>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</si>
  <si>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</si>
  <si>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</si>
  <si>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</si>
  <si>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</si>
  <si>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</si>
  <si>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</si>
  <si>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</si>
  <si>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</si>
  <si>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</si>
  <si>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</si>
  <si>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</si>
  <si>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</si>
  <si>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</si>
  <si>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</si>
  <si>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</si>
  <si>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</si>
  <si>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</si>
  <si>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</si>
  <si>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</si>
  <si>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</si>
  <si>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</si>
  <si>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</si>
  <si>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</si>
  <si>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</si>
  <si>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</si>
  <si>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</si>
  <si>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</si>
  <si>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</si>
  <si>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</si>
  <si>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</si>
  <si>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</si>
  <si>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</si>
  <si>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</si>
  <si>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</si>
  <si>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</si>
  <si>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</si>
  <si>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</si>
  <si>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</si>
  <si>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</si>
  <si>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</si>
  <si>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</si>
  <si>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</si>
  <si>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</si>
  <si>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</si>
  <si>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</si>
  <si>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</si>
  <si>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</si>
  <si>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</si>
  <si>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</si>
  <si>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</si>
  <si>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</si>
  <si>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</si>
  <si>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</si>
  <si>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</si>
  <si>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</si>
  <si>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</si>
  <si>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</si>
  <si>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</si>
  <si>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</si>
  <si>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</si>
  <si>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</si>
  <si>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</si>
  <si>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</si>
  <si>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</si>
  <si>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</si>
  <si>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</si>
  <si>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</si>
  <si>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</si>
  <si>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</si>
  <si>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</si>
  <si>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</si>
  <si>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</si>
  <si>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</si>
  <si>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</si>
  <si>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</si>
  <si>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</si>
  <si>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</si>
  <si>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</si>
  <si>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</si>
  <si>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</si>
  <si>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</si>
  <si>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</si>
  <si>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</si>
  <si>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</si>
  <si>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</si>
  <si>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</si>
  <si>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</si>
  <si>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</si>
  <si>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</si>
  <si>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</si>
  <si>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</si>
  <si>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</si>
  <si>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</si>
  <si>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</si>
  <si>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</si>
  <si>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</si>
  <si>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</si>
  <si>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</si>
  <si>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</si>
  <si>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</si>
  <si>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</si>
  <si>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</si>
  <si>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</si>
  <si>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</si>
  <si>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</si>
  <si>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</si>
  <si>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</si>
  <si>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</si>
  <si>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</si>
  <si>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</si>
  <si>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</si>
  <si>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</si>
  <si>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</si>
  <si>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</si>
  <si>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</si>
  <si>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</si>
  <si>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</si>
  <si>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</si>
  <si>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</si>
  <si>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</si>
  <si>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</si>
  <si>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</si>
  <si>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</si>
  <si>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</si>
  <si>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</si>
  <si>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</si>
  <si>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</si>
  <si>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</si>
  <si>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</si>
  <si>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</si>
  <si>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</si>
  <si>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</si>
  <si>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</si>
  <si>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</si>
  <si>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</si>
  <si>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</si>
  <si>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</si>
  <si>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</si>
  <si>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</si>
  <si>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</si>
  <si>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</si>
  <si>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</si>
  <si>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</si>
  <si>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</si>
  <si>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</si>
  <si>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</si>
  <si>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</si>
  <si>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</si>
  <si>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</si>
  <si>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</si>
  <si>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</si>
  <si>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</si>
  <si>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</si>
  <si>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</si>
  <si>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</si>
  <si>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</si>
  <si>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</si>
  <si>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</si>
  <si>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</si>
  <si>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</si>
  <si>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</si>
  <si>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</si>
  <si>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</si>
  <si>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</si>
  <si>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</si>
  <si>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</si>
  <si>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</si>
  <si>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</si>
  <si>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</si>
  <si>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</si>
  <si>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</si>
  <si>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</si>
  <si>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</si>
  <si>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</si>
  <si>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</si>
  <si>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</si>
  <si>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</si>
  <si>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</si>
  <si>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</si>
  <si>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</si>
  <si>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</si>
  <si>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</si>
  <si>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</si>
  <si>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</si>
  <si>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</si>
  <si>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</si>
  <si>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</si>
  <si>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</si>
  <si>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</si>
  <si>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</si>
  <si>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</si>
  <si>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</si>
  <si>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</si>
  <si>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</si>
  <si>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</si>
  <si>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</si>
  <si>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</si>
  <si>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</si>
  <si>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</si>
  <si>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</si>
  <si>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</si>
  <si>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</si>
  <si>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</si>
  <si>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</si>
  <si>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</si>
  <si>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</si>
  <si>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</si>
  <si>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</si>
  <si>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</si>
  <si>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</si>
  <si>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</si>
  <si>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</si>
  <si>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</si>
  <si>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</si>
  <si>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</si>
  <si>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</si>
  <si>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</si>
  <si>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</si>
  <si>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</si>
  <si>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</si>
  <si>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</si>
  <si>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</si>
  <si>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</si>
  <si>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</si>
  <si>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</si>
  <si>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</si>
  <si>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</si>
  <si>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</si>
  <si>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</si>
  <si>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</si>
  <si>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</si>
  <si>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</si>
  <si>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</si>
  <si>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</si>
  <si>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</si>
  <si>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</si>
  <si>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</si>
  <si>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</si>
  <si>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</si>
  <si>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</si>
  <si>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</si>
  <si>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</si>
  <si>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</si>
  <si>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</si>
  <si>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</si>
  <si>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</si>
  <si>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</si>
  <si>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</si>
  <si>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</si>
  <si>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</si>
  <si>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</si>
  <si>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</si>
  <si>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</si>
  <si>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</si>
  <si>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</si>
  <si>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</si>
  <si>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</si>
  <si>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</si>
  <si>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</si>
  <si>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</si>
  <si>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</si>
  <si>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</si>
  <si>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</si>
  <si>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</si>
  <si>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</si>
  <si>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</si>
  <si>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</si>
  <si>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</si>
  <si>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</si>
  <si>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</si>
  <si>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</si>
  <si>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</si>
  <si>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</si>
  <si>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</si>
  <si>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</si>
  <si>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</si>
  <si>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</si>
  <si>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</si>
  <si>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</si>
  <si>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</si>
  <si>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</si>
  <si>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</si>
  <si>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</si>
  <si>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</si>
  <si>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</si>
  <si>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</si>
  <si>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</si>
  <si>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</si>
  <si>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</si>
  <si>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</si>
  <si>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</si>
  <si>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</si>
  <si>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</si>
  <si>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</si>
  <si>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</si>
  <si>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</si>
  <si>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</si>
  <si>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</si>
  <si>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</si>
  <si>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</si>
  <si>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</si>
  <si>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</si>
  <si>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</si>
  <si>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</si>
  <si>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</si>
  <si>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</si>
  <si>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</si>
  <si>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</si>
  <si>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</si>
  <si>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</si>
  <si>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</si>
  <si>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</si>
  <si>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</si>
  <si>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</si>
  <si>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</si>
  <si>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</si>
  <si>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</si>
  <si>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</si>
  <si>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</si>
  <si>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</si>
  <si>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</si>
  <si>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</si>
  <si>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</si>
  <si>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</si>
  <si>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</si>
  <si>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</si>
  <si>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</si>
  <si>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</si>
  <si>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</si>
  <si>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</si>
  <si>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</si>
  <si>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</si>
  <si>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</si>
  <si>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</si>
  <si>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</si>
  <si>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</si>
  <si>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</si>
  <si>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</si>
  <si>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</si>
  <si>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</si>
  <si>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</si>
  <si>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</si>
  <si>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</si>
  <si>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</si>
  <si>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</si>
  <si>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</si>
  <si>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</si>
  <si>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</si>
  <si>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</si>
  <si>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</si>
  <si>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</si>
  <si>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</si>
  <si>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</si>
  <si>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</si>
  <si>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</si>
  <si>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</si>
  <si>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</si>
  <si>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</si>
  <si>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</si>
  <si>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</si>
  <si>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</si>
  <si>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</si>
  <si>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</si>
  <si>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</si>
  <si>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</si>
  <si>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</si>
  <si>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</si>
  <si>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</si>
  <si>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</si>
  <si>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</si>
  <si>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</si>
  <si>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</si>
  <si>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</si>
  <si>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</si>
  <si>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</si>
  <si>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</si>
  <si>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</si>
  <si>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</si>
  <si>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</si>
  <si>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</si>
  <si>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</si>
  <si>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</si>
  <si>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</si>
  <si>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</si>
  <si>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</si>
  <si>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</si>
  <si>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</si>
  <si>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</si>
  <si>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</si>
  <si>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</si>
  <si>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</si>
  <si>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</si>
  <si>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</si>
  <si>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</si>
  <si>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</si>
  <si>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</si>
  <si>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</si>
  <si>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</si>
  <si>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</si>
  <si>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</si>
  <si>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</si>
  <si>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</si>
  <si>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</si>
  <si>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</si>
  <si>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</si>
  <si>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</si>
  <si>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</si>
  <si>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</si>
  <si>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</si>
  <si>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</si>
  <si>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</si>
  <si>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</si>
  <si>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</si>
  <si>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</si>
  <si>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</si>
  <si>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</si>
  <si>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</si>
  <si>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</si>
  <si>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</si>
  <si>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</si>
  <si>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</si>
  <si>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</si>
  <si>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</si>
  <si>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</si>
  <si>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</si>
  <si>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</si>
  <si>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</si>
  <si>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</si>
  <si>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</si>
  <si>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</si>
  <si>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</si>
  <si>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</si>
  <si>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</si>
  <si>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</si>
  <si>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</si>
  <si>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</si>
  <si>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</si>
  <si>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</si>
  <si>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</si>
  <si>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</si>
  <si>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</si>
  <si>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</si>
  <si>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</si>
  <si>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</si>
  <si>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</si>
  <si>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</si>
  <si>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</si>
  <si>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</si>
  <si>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</si>
  <si>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</si>
  <si>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</si>
  <si>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</si>
  <si>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</si>
  <si>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</si>
  <si>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</si>
  <si>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</si>
  <si>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</si>
  <si>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</si>
  <si>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</si>
  <si>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</si>
  <si>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</si>
  <si>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</si>
  <si>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</si>
  <si>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</si>
  <si>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</si>
  <si>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</si>
  <si>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</si>
  <si>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</si>
  <si>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</si>
  <si>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</si>
  <si>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</si>
  <si>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</si>
  <si>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</si>
  <si>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</si>
  <si>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</si>
  <si>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</si>
  <si>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</si>
  <si>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</si>
  <si>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</si>
  <si>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</si>
  <si>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</si>
  <si>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</si>
  <si>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</si>
  <si>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</si>
  <si>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</si>
  <si>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</si>
  <si>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</si>
  <si>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</si>
  <si>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</si>
  <si>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</si>
  <si>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</si>
  <si>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</si>
  <si>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</si>
  <si>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</si>
  <si>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</si>
  <si>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</si>
  <si>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</si>
  <si>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</si>
  <si>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</si>
  <si>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</si>
  <si>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</si>
  <si>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</si>
  <si>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</si>
  <si>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</si>
  <si>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</si>
  <si>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</si>
  <si>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</si>
  <si>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</si>
  <si>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</si>
  <si>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</si>
  <si>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</si>
  <si>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</si>
  <si>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</si>
  <si>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</si>
  <si>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</si>
  <si>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</si>
  <si>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</si>
  <si>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</si>
  <si>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</si>
  <si>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</si>
  <si>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</si>
  <si>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</si>
  <si>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</si>
  <si>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</si>
  <si>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</si>
  <si>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</si>
  <si>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</si>
  <si>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</si>
  <si>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</si>
  <si>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</si>
  <si>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</si>
  <si>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</si>
  <si>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</si>
  <si>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</si>
  <si>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</si>
  <si>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</si>
  <si>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</si>
  <si>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</si>
  <si>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</si>
  <si>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</si>
  <si>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</si>
  <si>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</si>
  <si>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</si>
  <si>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</si>
  <si>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</si>
  <si>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</si>
  <si>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</si>
  <si>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</si>
  <si>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</si>
  <si>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</si>
  <si>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</si>
  <si>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</si>
  <si>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</si>
  <si>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</si>
  <si>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</si>
  <si>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</si>
  <si>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</si>
  <si>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</si>
  <si>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</si>
  <si>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</si>
  <si>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</si>
  <si>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</si>
  <si>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</si>
  <si>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</si>
  <si>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</si>
  <si>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</si>
  <si>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</si>
  <si>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</si>
  <si>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</si>
  <si>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</si>
  <si>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</si>
  <si>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</si>
  <si>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</si>
  <si>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</si>
  <si>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</si>
  <si>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</si>
  <si>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</si>
  <si>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</si>
  <si>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</si>
  <si>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</si>
  <si>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</si>
  <si>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</si>
  <si>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</si>
  <si>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</si>
  <si>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</si>
  <si>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</si>
  <si>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</si>
  <si>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</si>
  <si>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</si>
  <si>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</si>
  <si>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</si>
  <si>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</si>
  <si>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</si>
  <si>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</si>
  <si>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</si>
  <si>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</si>
  <si>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</si>
  <si>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</si>
  <si>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</si>
  <si>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</si>
  <si>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</si>
  <si>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</si>
  <si>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</si>
  <si>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</si>
  <si>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</si>
  <si>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</si>
  <si>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</si>
  <si>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</si>
  <si>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</si>
  <si>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</si>
  <si>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</si>
  <si>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</si>
  <si>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</si>
  <si>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</si>
  <si>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</si>
  <si>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</si>
  <si>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</si>
  <si>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</si>
  <si>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</si>
  <si>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</si>
  <si>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</si>
  <si>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</si>
  <si>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</si>
  <si>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</si>
  <si>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</si>
  <si>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</si>
  <si>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</si>
  <si>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</si>
  <si>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</si>
  <si>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</si>
  <si>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</si>
  <si>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</si>
  <si>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</si>
  <si>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</si>
  <si>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</si>
  <si>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</si>
  <si>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</si>
  <si>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</si>
  <si>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</si>
  <si>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</si>
  <si>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</si>
  <si>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</si>
  <si>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</si>
  <si>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</si>
  <si>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</si>
  <si>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</si>
  <si>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</si>
  <si>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</si>
  <si>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</si>
  <si>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</si>
  <si>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</si>
  <si>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</si>
  <si>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</si>
  <si>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</si>
  <si>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</si>
  <si>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</si>
  <si>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</si>
  <si>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</si>
  <si>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</si>
  <si>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</si>
  <si>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</si>
  <si>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</si>
  <si>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</si>
  <si>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</si>
  <si>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</si>
  <si>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</si>
  <si>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</si>
  <si>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</si>
  <si>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</si>
  <si>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</si>
  <si>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</si>
  <si>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</si>
  <si>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</si>
  <si>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</si>
  <si>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</si>
  <si>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</si>
  <si>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</si>
  <si>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</si>
  <si>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</si>
  <si>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</si>
  <si>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</si>
  <si>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</si>
  <si>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</si>
  <si>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</si>
  <si>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</si>
  <si>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</si>
  <si>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</si>
  <si>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</si>
  <si>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</si>
  <si>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</si>
  <si>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</si>
  <si>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</si>
  <si>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</si>
  <si>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</si>
  <si>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</si>
  <si>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</si>
  <si>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</si>
  <si>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</si>
  <si>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</si>
  <si>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</si>
  <si>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</si>
  <si>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AMALIA XIMENA NOGUERA BASTIDAS</t>
  </si>
  <si>
    <t>CARRERA 5E No. 17-24 BARRIO LORENZO</t>
  </si>
  <si>
    <t>7325910 - 3015695783</t>
  </si>
  <si>
    <t>fundacionredez@gmail.com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</si>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</sst>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60" zoomScaleNormal="60" zoomScaleSheetLayoutView="40" zoomScalePageLayoutView="40" workbookViewId="0">
      <selection activeCell="A183" sqref="A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0" t="str">
        <f>HYPERLINK("#MI_Oferente_Singular!A114","CAPACIDAD RESIDUAL")</f>
        <v>CAPACIDAD RESIDUAL</v>
      </c>
      <c r="F8" s="241"/>
      <c r="G8" s="242"/>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0" t="str">
        <f>HYPERLINK("#MI_Oferente_Singular!A162","TALENTO HUMANO")</f>
        <v>TALENTO HUMANO</v>
      </c>
      <c r="F9" s="241"/>
      <c r="G9" s="242"/>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0" t="str">
        <f>HYPERLINK("#MI_Oferente_Singular!F162","INFRAESTRUCTURA")</f>
        <v>INFRAESTRUCTURA</v>
      </c>
      <c r="F10" s="241"/>
      <c r="G10" s="242"/>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2698</v>
      </c>
      <c r="D15" s="35"/>
      <c r="E15" s="35"/>
      <c r="F15" s="5"/>
      <c r="G15" s="32" t="s">
        <v>1168</v>
      </c>
      <c r="H15" s="102" t="s">
        <v>110</v>
      </c>
      <c r="I15" s="32" t="s">
        <v>2624</v>
      </c>
      <c r="J15" s="107" t="s">
        <v>2626</v>
      </c>
      <c r="L15" s="224" t="s">
        <v>8</v>
      </c>
      <c r="M15" s="22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243"/>
      <c r="I20" s="118" t="s">
        <v>110</v>
      </c>
      <c r="J20" s="118" t="s">
        <v>769</v>
      </c>
      <c r="K20" s="170">
        <v>1235889418</v>
      </c>
      <c r="L20" s="171"/>
      <c r="M20" s="171">
        <v>44561</v>
      </c>
      <c r="N20" s="129">
        <f>+(M20-L20)/30</f>
        <v>1485.3666666666666</v>
      </c>
      <c r="O20" s="132"/>
      <c r="U20" s="128"/>
      <c r="V20" s="104">
        <f ca="1">NOW()</f>
        <v>44200.591633680553</v>
      </c>
      <c r="W20" s="104">
        <f ca="1">NOW()</f>
        <v>44200.591633680553</v>
      </c>
    </row>
    <row r="21" spans="1:23" ht="30" customHeight="1" outlineLevel="1" x14ac:dyDescent="0.25">
      <c r="A21" s="9"/>
      <c r="B21" s="70"/>
      <c r="C21" s="5"/>
      <c r="D21" s="5"/>
      <c r="E21" s="5"/>
      <c r="F21" s="5"/>
      <c r="G21" s="5"/>
      <c r="H21" s="69"/>
      <c r="I21" s="141"/>
      <c r="J21" s="142"/>
      <c r="K21" s="143"/>
      <c r="L21" s="144"/>
      <c r="M21" s="144"/>
      <c r="N21" s="129">
        <f t="shared" ref="N21:N35" si="0">+(M21-L21)/30</f>
        <v>0</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3"/>
      <c r="I37" s="124"/>
      <c r="J37" s="124"/>
      <c r="K37" s="124"/>
      <c r="L37" s="124"/>
      <c r="M37" s="124"/>
      <c r="N37" s="124"/>
      <c r="O37" s="125"/>
    </row>
    <row r="38" spans="1:16" ht="21" customHeight="1" x14ac:dyDescent="0.25">
      <c r="A38" s="9"/>
      <c r="B38" s="238" t="str">
        <f>VLOOKUP(B20,EAS!A2:B1439,2,0)</f>
        <v>FUNDACION REDEZ</v>
      </c>
      <c r="C38" s="238"/>
      <c r="D38" s="238"/>
      <c r="E38" s="238"/>
      <c r="F38" s="238"/>
      <c r="G38" s="5"/>
      <c r="H38" s="126"/>
      <c r="I38" s="247" t="s">
        <v>7</v>
      </c>
      <c r="J38" s="247"/>
      <c r="K38" s="247"/>
      <c r="L38" s="247"/>
      <c r="M38" s="247"/>
      <c r="N38" s="247"/>
      <c r="O38" s="127"/>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2676</v>
      </c>
      <c r="C48" s="121" t="s">
        <v>2677</v>
      </c>
      <c r="D48" s="118" t="s">
        <v>2678</v>
      </c>
      <c r="E48" s="172" t="s">
        <v>2679</v>
      </c>
      <c r="F48" s="172">
        <v>42735</v>
      </c>
      <c r="G48" s="151">
        <f>IF(AND(E48&lt;&gt;"",F48&lt;&gt;""),((F48-E48)/30),"")</f>
        <v>7.1</v>
      </c>
      <c r="H48" s="119" t="s">
        <v>2686</v>
      </c>
      <c r="I48" s="118" t="s">
        <v>110</v>
      </c>
      <c r="J48" s="118" t="s">
        <v>769</v>
      </c>
      <c r="K48" s="116">
        <v>7000000</v>
      </c>
      <c r="L48" s="121" t="s">
        <v>2687</v>
      </c>
      <c r="M48" s="115">
        <f t="shared" ref="M48:M79" si="2">+IF(L48="No",1,IF(L48="Si","Ingrese %",""))</f>
        <v>1</v>
      </c>
      <c r="N48" s="121" t="s">
        <v>2688</v>
      </c>
      <c r="O48" s="121" t="s">
        <v>2687</v>
      </c>
      <c r="P48" s="77"/>
    </row>
    <row r="49" spans="1:16" s="6" customFormat="1" ht="24.75" customHeight="1" x14ac:dyDescent="0.25">
      <c r="A49" s="137">
        <v>2</v>
      </c>
      <c r="B49" s="119" t="s">
        <v>2680</v>
      </c>
      <c r="C49" s="121" t="s">
        <v>2677</v>
      </c>
      <c r="D49" s="118" t="s">
        <v>2681</v>
      </c>
      <c r="E49" s="172">
        <v>42737</v>
      </c>
      <c r="F49" s="172">
        <v>43100</v>
      </c>
      <c r="G49" s="151">
        <f t="shared" ref="G49:G50" si="3">IF(AND(E49&lt;&gt;"",F49&lt;&gt;""),((F49-E49)/30),"")</f>
        <v>12.1</v>
      </c>
      <c r="H49" s="119" t="s">
        <v>2689</v>
      </c>
      <c r="I49" s="118" t="s">
        <v>110</v>
      </c>
      <c r="J49" s="118" t="s">
        <v>769</v>
      </c>
      <c r="K49" s="120">
        <v>8000000</v>
      </c>
      <c r="L49" s="121" t="s">
        <v>2687</v>
      </c>
      <c r="M49" s="115">
        <f t="shared" si="2"/>
        <v>1</v>
      </c>
      <c r="N49" s="121" t="s">
        <v>2688</v>
      </c>
      <c r="O49" s="121" t="s">
        <v>2690</v>
      </c>
      <c r="P49" s="77"/>
    </row>
    <row r="50" spans="1:16" s="6" customFormat="1" ht="24.75" customHeight="1" x14ac:dyDescent="0.25">
      <c r="A50" s="137">
        <v>3</v>
      </c>
      <c r="B50" s="119" t="s">
        <v>2680</v>
      </c>
      <c r="C50" s="121" t="s">
        <v>2677</v>
      </c>
      <c r="D50" s="118" t="s">
        <v>2682</v>
      </c>
      <c r="E50" s="172">
        <v>43102</v>
      </c>
      <c r="F50" s="172">
        <v>43465</v>
      </c>
      <c r="G50" s="151">
        <f t="shared" si="3"/>
        <v>12.1</v>
      </c>
      <c r="H50" s="119" t="s">
        <v>2691</v>
      </c>
      <c r="I50" s="118" t="s">
        <v>110</v>
      </c>
      <c r="J50" s="118" t="s">
        <v>769</v>
      </c>
      <c r="K50" s="120">
        <v>10000000</v>
      </c>
      <c r="L50" s="121" t="s">
        <v>2687</v>
      </c>
      <c r="M50" s="115">
        <f t="shared" si="2"/>
        <v>1</v>
      </c>
      <c r="N50" s="121" t="s">
        <v>2688</v>
      </c>
      <c r="O50" s="121" t="s">
        <v>2690</v>
      </c>
      <c r="P50" s="77"/>
    </row>
    <row r="51" spans="1:16" s="6" customFormat="1" ht="24.75" customHeight="1" outlineLevel="1" x14ac:dyDescent="0.25">
      <c r="A51" s="137">
        <v>4</v>
      </c>
      <c r="B51" s="119" t="s">
        <v>2676</v>
      </c>
      <c r="C51" s="121" t="s">
        <v>2677</v>
      </c>
      <c r="D51" s="118" t="s">
        <v>2683</v>
      </c>
      <c r="E51" s="172">
        <v>43473</v>
      </c>
      <c r="F51" s="172">
        <v>43830</v>
      </c>
      <c r="G51" s="151">
        <f t="shared" ref="G51:G107" si="4">IF(AND(E51&lt;&gt;"",F51&lt;&gt;""),((F51-E51)/30),"")</f>
        <v>11.9</v>
      </c>
      <c r="H51" s="119" t="s">
        <v>2686</v>
      </c>
      <c r="I51" s="118" t="s">
        <v>110</v>
      </c>
      <c r="J51" s="118" t="s">
        <v>769</v>
      </c>
      <c r="K51" s="116">
        <v>12000000</v>
      </c>
      <c r="L51" s="121" t="s">
        <v>2687</v>
      </c>
      <c r="M51" s="115">
        <f t="shared" si="2"/>
        <v>1</v>
      </c>
      <c r="N51" s="121" t="s">
        <v>27</v>
      </c>
      <c r="O51" s="121" t="s">
        <v>2687</v>
      </c>
      <c r="P51" s="77"/>
    </row>
    <row r="52" spans="1:16" s="7" customFormat="1" ht="24.75" customHeight="1" outlineLevel="1" x14ac:dyDescent="0.25">
      <c r="A52" s="138">
        <v>5</v>
      </c>
      <c r="B52" s="119" t="s">
        <v>2684</v>
      </c>
      <c r="C52" s="121" t="s">
        <v>2677</v>
      </c>
      <c r="D52" s="118" t="s">
        <v>2685</v>
      </c>
      <c r="E52" s="172">
        <v>43845</v>
      </c>
      <c r="F52" s="172">
        <v>44180</v>
      </c>
      <c r="G52" s="151">
        <f t="shared" si="4"/>
        <v>11.166666666666666</v>
      </c>
      <c r="H52" s="119" t="s">
        <v>2692</v>
      </c>
      <c r="I52" s="118" t="s">
        <v>110</v>
      </c>
      <c r="J52" s="118" t="s">
        <v>769</v>
      </c>
      <c r="K52" s="120">
        <v>12500000</v>
      </c>
      <c r="L52" s="121" t="s">
        <v>2687</v>
      </c>
      <c r="M52" s="115">
        <f t="shared" si="2"/>
        <v>1</v>
      </c>
      <c r="N52" s="121" t="s">
        <v>2688</v>
      </c>
      <c r="O52" s="121" t="s">
        <v>2687</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c r="E114" s="173"/>
      <c r="F114" s="173"/>
      <c r="G114" s="151" t="str">
        <f>IF(AND(E114&lt;&gt;"",F114&lt;&gt;""),((F114-E114)/30),"")</f>
        <v/>
      </c>
      <c r="H114" s="119"/>
      <c r="I114" s="118"/>
      <c r="J114" s="118"/>
      <c r="K114" s="120"/>
      <c r="L114" s="99" t="str">
        <f>+IF(AND(K114&gt;0,O114="Ejecución"),(K114/877802)*Tabla28[[#This Row],[% participación]],IF(AND(K114&gt;0,O114&lt;&gt;"Ejecución"),"-",""))</f>
        <v/>
      </c>
      <c r="M114" s="121"/>
      <c r="N114" s="164"/>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58"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5"/>
      <c r="Z178" s="156" t="str">
        <f>IF(Y178&gt;0,SUM(E180+Y178),"")</f>
        <v/>
      </c>
      <c r="AA178" s="19"/>
      <c r="AB178" s="19"/>
    </row>
    <row r="179" spans="1:28" ht="23.25" x14ac:dyDescent="0.25">
      <c r="A179" s="9"/>
      <c r="B179" s="191" t="s">
        <v>2669</v>
      </c>
      <c r="C179" s="191"/>
      <c r="D179" s="191"/>
      <c r="E179" s="162">
        <v>0.02</v>
      </c>
      <c r="F179" s="161">
        <v>0.01</v>
      </c>
      <c r="G179" s="156">
        <f>IF(F179&gt;0,SUM(E179+F179),"")</f>
        <v>0.03</v>
      </c>
      <c r="H179" s="5"/>
      <c r="I179" s="191" t="s">
        <v>2671</v>
      </c>
      <c r="J179" s="191"/>
      <c r="K179" s="191"/>
      <c r="L179" s="191"/>
      <c r="M179" s="163">
        <v>0.02</v>
      </c>
      <c r="O179" s="8"/>
      <c r="Q179" s="19"/>
      <c r="R179" s="150">
        <f>IF(M179&gt;0,SUM(L179+M179),"")</f>
        <v>0.02</v>
      </c>
      <c r="T179" s="19"/>
      <c r="U179" s="237" t="s">
        <v>1166</v>
      </c>
      <c r="V179" s="237"/>
      <c r="W179" s="237"/>
      <c r="X179" s="24">
        <v>0.02</v>
      </c>
      <c r="Y179" s="155"/>
      <c r="Z179" s="156" t="str">
        <f>IF(Y179&gt;0,SUM(E181+Y179),"")</f>
        <v/>
      </c>
      <c r="AA179" s="19"/>
      <c r="AB179" s="19"/>
    </row>
    <row r="180" spans="1:28" ht="23.25" hidden="1" x14ac:dyDescent="0.25">
      <c r="A180" s="9"/>
      <c r="B180" s="177"/>
      <c r="C180" s="177"/>
      <c r="D180" s="177"/>
      <c r="E180" s="160"/>
      <c r="H180" s="5"/>
      <c r="I180" s="177"/>
      <c r="J180" s="177"/>
      <c r="K180" s="177"/>
      <c r="L180" s="177"/>
      <c r="M180" s="5"/>
      <c r="O180" s="8"/>
      <c r="Q180" s="19"/>
      <c r="R180" s="150" t="str">
        <f>IF(S180&gt;0,SUM(L180+S180),"")</f>
        <v/>
      </c>
      <c r="S180" s="155"/>
      <c r="T180" s="19"/>
      <c r="U180" s="237" t="s">
        <v>1167</v>
      </c>
      <c r="V180" s="237"/>
      <c r="W180" s="237"/>
      <c r="X180" s="24">
        <v>0.03</v>
      </c>
      <c r="Y180" s="155"/>
      <c r="Z180" s="156" t="str">
        <f>IF(Y180&gt;0,SUM(E182+Y180),"")</f>
        <v/>
      </c>
      <c r="AA180" s="19"/>
      <c r="AB180" s="19"/>
    </row>
    <row r="181" spans="1:28" ht="23.25" hidden="1" x14ac:dyDescent="0.25">
      <c r="A181" s="9"/>
      <c r="B181" s="177"/>
      <c r="C181" s="177"/>
      <c r="D181" s="177"/>
      <c r="E181" s="160"/>
      <c r="H181" s="5"/>
      <c r="I181" s="177"/>
      <c r="J181" s="177"/>
      <c r="K181" s="177"/>
      <c r="L181" s="17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7"/>
      <c r="C182" s="177"/>
      <c r="D182" s="177"/>
      <c r="E182" s="160"/>
      <c r="H182" s="5"/>
      <c r="I182" s="177"/>
      <c r="J182" s="177"/>
      <c r="K182" s="177"/>
      <c r="L182" s="17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37076682.539999999</v>
      </c>
      <c r="F185" s="91"/>
      <c r="G185" s="92"/>
      <c r="H185" s="87"/>
      <c r="I185" s="89" t="s">
        <v>2627</v>
      </c>
      <c r="J185" s="157">
        <f>+SUM(M179:M183)</f>
        <v>0.02</v>
      </c>
      <c r="K185" s="236" t="s">
        <v>2628</v>
      </c>
      <c r="L185" s="236"/>
      <c r="M185" s="93">
        <f>+J185*(SUM(K20:K35))</f>
        <v>24717788.359999999</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95" t="s">
        <v>2636</v>
      </c>
      <c r="C192" s="195"/>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2693</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2693</v>
      </c>
      <c r="D211" s="21"/>
      <c r="G211" s="27" t="s">
        <v>2620</v>
      </c>
      <c r="H211" s="176" t="s">
        <v>2694</v>
      </c>
      <c r="J211" s="27" t="s">
        <v>2622</v>
      </c>
      <c r="K211" s="176" t="s">
        <v>2694</v>
      </c>
      <c r="L211" s="21"/>
      <c r="M211" s="21"/>
      <c r="N211" s="21"/>
      <c r="O211" s="8"/>
    </row>
    <row r="212" spans="1:15" x14ac:dyDescent="0.25">
      <c r="A212" s="9"/>
      <c r="B212" s="27" t="s">
        <v>2619</v>
      </c>
      <c r="C212" s="174" t="s">
        <v>2693</v>
      </c>
      <c r="D212" s="21"/>
      <c r="G212" s="27" t="s">
        <v>2621</v>
      </c>
      <c r="H212" s="176" t="s">
        <v>2695</v>
      </c>
      <c r="J212" s="27" t="s">
        <v>2623</v>
      </c>
      <c r="K212" s="17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Jairo Vargas</cp:lastModifiedBy>
  <cp:lastPrinted>2020-11-20T15:12:35Z</cp:lastPrinted>
  <dcterms:created xsi:type="dcterms:W3CDTF">2020-10-14T21:57:42Z</dcterms:created>
  <dcterms:modified xsi:type="dcterms:W3CDTF">2021-01-04T19:12:28Z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