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hirly\Documents\CONTRATOS ICBF 2020\INVITACIONES A OFERTAR\INVITACIONES MODALIDAD 2020\ATLÁNTICO\SIN FIRMA\"/>
    </mc:Choice>
  </mc:AlternateContent>
  <xr:revisionPtr revIDLastSave="0" documentId="13_ncr:1_{66B2940F-0012-4885-8618-E9F954AE0F7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<sst xmlns="http://schemas.openxmlformats.org/spreadsheetml/2006/main" count="3166" uniqueCount="2706">
  <si>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</si>
  <si>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</si>
  <si>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</si>
  <si>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</si>
  <si>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</si>
  <si>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</si>
  <si>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</si>
  <si>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</si>
  <si>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</si>
  <si>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</si>
  <si>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</si>
  <si>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</si>
  <si>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</si>
  <si>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</si>
  <si>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</si>
  <si>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</si>
  <si>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</si>
  <si>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</si>
  <si>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</si>
  <si>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</si>
  <si>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</si>
  <si>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</si>
  <si>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</si>
  <si>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</si>
  <si>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</si>
  <si>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</si>
  <si>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</si>
  <si>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</si>
  <si>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</si>
  <si>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</si>
  <si>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</si>
  <si>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</si>
  <si>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</si>
  <si>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</si>
  <si>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</si>
  <si>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</si>
  <si>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</si>
  <si>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</si>
  <si>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</si>
  <si>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</si>
  <si>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</si>
  <si>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</si>
  <si>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</si>
  <si>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</si>
  <si>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</si>
  <si>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</si>
  <si>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</si>
  <si>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</si>
  <si>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</si>
  <si>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</si>
  <si>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</si>
  <si>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</si>
  <si>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</si>
  <si>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</si>
  <si>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</si>
  <si>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</si>
  <si>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</si>
  <si>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</si>
  <si>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</si>
  <si>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</si>
  <si>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</si>
  <si>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</si>
  <si>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</si>
  <si>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</si>
  <si>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</si>
  <si>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</si>
  <si>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</si>
  <si>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</si>
  <si>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</si>
  <si>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</si>
  <si>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</si>
  <si>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</si>
  <si>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</si>
  <si>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</si>
  <si>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</si>
  <si>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</si>
  <si>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</si>
  <si>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</si>
  <si>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</si>
  <si>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</si>
  <si>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</si>
  <si>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</si>
  <si>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</si>
  <si>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</si>
  <si>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</si>
  <si>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</si>
  <si>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</si>
  <si>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</si>
  <si>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</si>
  <si>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</si>
  <si>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</si>
  <si>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</si>
  <si>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</si>
  <si>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</si>
  <si>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</si>
  <si>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</si>
  <si>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</si>
  <si>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</si>
  <si>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</si>
  <si>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</si>
  <si>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</si>
  <si>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</si>
  <si>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</si>
  <si>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</si>
  <si>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</si>
  <si>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</si>
  <si>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</si>
  <si>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</si>
  <si>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</si>
  <si>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</si>
  <si>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</si>
  <si>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</si>
  <si>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</si>
  <si>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</si>
  <si>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</si>
  <si>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</si>
  <si>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</si>
  <si>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</si>
  <si>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</si>
  <si>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</si>
  <si>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</si>
  <si>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</si>
  <si>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</si>
  <si>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</si>
  <si>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</si>
  <si>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</si>
  <si>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</si>
  <si>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</si>
  <si>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</si>
  <si>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</si>
  <si>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</si>
  <si>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</si>
  <si>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</si>
  <si>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</si>
  <si>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</si>
  <si>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</si>
  <si>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</si>
  <si>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</si>
  <si>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</si>
  <si>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</si>
  <si>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</si>
  <si>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</si>
  <si>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</si>
  <si>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</si>
  <si>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</si>
  <si>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</si>
  <si>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</si>
  <si>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</si>
  <si>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</si>
  <si>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</si>
  <si>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</si>
  <si>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</si>
  <si>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</si>
  <si>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</si>
  <si>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</si>
  <si>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</si>
  <si>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</si>
  <si>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</si>
  <si>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</si>
  <si>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</si>
  <si>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</si>
  <si>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</si>
  <si>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</si>
  <si>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</si>
  <si>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</si>
  <si>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</si>
  <si>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</si>
  <si>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</si>
  <si>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</si>
  <si>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</si>
  <si>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</si>
  <si>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</si>
  <si>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</si>
  <si>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</si>
  <si>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</si>
  <si>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</si>
  <si>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</si>
  <si>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</si>
  <si>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</si>
  <si>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</si>
  <si>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</si>
  <si>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</si>
  <si>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</si>
  <si>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</si>
  <si>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</si>
  <si>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</si>
  <si>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</si>
  <si>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</si>
  <si>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</si>
  <si>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</si>
  <si>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</si>
  <si>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</si>
  <si>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</si>
  <si>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</si>
  <si>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</si>
  <si>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</si>
  <si>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</si>
  <si>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</si>
  <si>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</si>
  <si>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</si>
  <si>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</si>
  <si>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</si>
  <si>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</si>
  <si>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</si>
  <si>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</si>
  <si>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</si>
  <si>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</si>
  <si>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</si>
  <si>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</si>
  <si>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</si>
  <si>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</si>
  <si>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</si>
  <si>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</si>
  <si>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</si>
  <si>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</si>
  <si>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</si>
  <si>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</si>
  <si>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</si>
  <si>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</si>
  <si>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</si>
  <si>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</si>
  <si>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</si>
  <si>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</si>
  <si>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</si>
  <si>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</si>
  <si>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</si>
  <si>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</si>
  <si>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</si>
  <si>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</si>
  <si>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</si>
  <si>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</si>
  <si>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</si>
  <si>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</si>
  <si>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</si>
  <si>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</si>
  <si>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</si>
  <si>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</si>
  <si>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</si>
  <si>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</si>
  <si>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</si>
  <si>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</si>
  <si>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</si>
  <si>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</si>
  <si>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</si>
  <si>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</si>
  <si>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</si>
  <si>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</si>
  <si>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</si>
  <si>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</si>
  <si>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</si>
  <si>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</si>
  <si>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</si>
  <si>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</si>
  <si>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</si>
  <si>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</si>
  <si>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</si>
  <si>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</si>
  <si>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</si>
  <si>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</si>
  <si>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</si>
  <si>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</si>
  <si>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</si>
  <si>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</si>
  <si>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</si>
  <si>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</si>
  <si>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</si>
  <si>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</si>
  <si>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</si>
  <si>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</si>
  <si>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</si>
  <si>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</si>
  <si>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</si>
  <si>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</si>
  <si>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</si>
  <si>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</si>
  <si>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</si>
  <si>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</si>
  <si>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</si>
  <si>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</si>
  <si>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</si>
  <si>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</si>
  <si>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</si>
  <si>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</si>
  <si>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</si>
  <si>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</si>
  <si>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</si>
  <si>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</si>
  <si>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</si>
  <si>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</si>
  <si>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</si>
  <si>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</si>
  <si>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</si>
  <si>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</si>
  <si>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</si>
  <si>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</si>
  <si>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</si>
  <si>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</si>
  <si>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</si>
  <si>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</si>
  <si>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</si>
  <si>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</si>
  <si>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</si>
  <si>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</si>
  <si>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</si>
  <si>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</si>
  <si>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</si>
  <si>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</si>
  <si>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</si>
  <si>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</si>
  <si>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</si>
  <si>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</si>
  <si>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</si>
  <si>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</si>
  <si>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</si>
  <si>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</si>
  <si>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</si>
  <si>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</si>
  <si>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</si>
  <si>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</si>
  <si>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</si>
  <si>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</si>
  <si>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</si>
  <si>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</si>
  <si>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</si>
  <si>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</si>
  <si>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</si>
  <si>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</si>
  <si>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</si>
  <si>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</si>
  <si>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</si>
  <si>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</si>
  <si>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</si>
  <si>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</si>
  <si>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</si>
  <si>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</si>
  <si>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</si>
  <si>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</si>
  <si>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</si>
  <si>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</si>
  <si>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</si>
  <si>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</si>
  <si>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</si>
  <si>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</si>
  <si>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</si>
  <si>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</si>
  <si>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</si>
  <si>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</si>
  <si>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</si>
  <si>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</si>
  <si>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</si>
  <si>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</si>
  <si>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</si>
  <si>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</si>
  <si>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</si>
  <si>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</si>
  <si>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</si>
  <si>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</si>
  <si>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</si>
  <si>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</si>
  <si>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</si>
  <si>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</si>
  <si>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</si>
  <si>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</si>
  <si>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</si>
  <si>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</si>
  <si>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</si>
  <si>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</si>
  <si>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</si>
  <si>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</si>
  <si>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</si>
  <si>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</si>
  <si>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</si>
  <si>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</si>
  <si>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</si>
  <si>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</si>
  <si>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</si>
  <si>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</si>
  <si>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</si>
  <si>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</si>
  <si>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</si>
  <si>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</si>
  <si>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</si>
  <si>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</si>
  <si>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</si>
  <si>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</si>
  <si>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</si>
  <si>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</si>
  <si>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</si>
  <si>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</si>
  <si>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</si>
  <si>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</si>
  <si>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</si>
  <si>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</si>
  <si>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</si>
  <si>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</si>
  <si>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</si>
  <si>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</si>
  <si>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</si>
  <si>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</si>
  <si>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</si>
  <si>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</si>
  <si>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</si>
  <si>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</si>
  <si>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</si>
  <si>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</si>
  <si>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</si>
  <si>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</si>
  <si>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</si>
  <si>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</si>
  <si>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</si>
  <si>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</si>
  <si>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</si>
  <si>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</si>
  <si>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</si>
  <si>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</si>
  <si>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</si>
  <si>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</si>
  <si>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</si>
  <si>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</si>
  <si>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</si>
  <si>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</si>
  <si>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</si>
  <si>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</si>
  <si>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</si>
  <si>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</si>
  <si>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</si>
  <si>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</si>
  <si>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</si>
  <si>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</si>
  <si>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</si>
  <si>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</si>
  <si>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</si>
  <si>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</si>
  <si>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</si>
  <si>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</si>
  <si>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</si>
  <si>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</si>
  <si>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</si>
  <si>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</si>
  <si>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</si>
  <si>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</si>
  <si>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</si>
  <si>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</si>
  <si>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</si>
  <si>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</si>
  <si>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</si>
  <si>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</si>
  <si>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</si>
  <si>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</si>
  <si>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</si>
  <si>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</si>
  <si>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</si>
  <si>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</si>
  <si>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</si>
  <si>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</si>
  <si>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</si>
  <si>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</si>
  <si>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</si>
  <si>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</si>
  <si>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</si>
  <si>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</si>
  <si>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</si>
  <si>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</si>
  <si>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</si>
  <si>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</si>
  <si>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</si>
  <si>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</si>
  <si>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</si>
  <si>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</si>
  <si>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</si>
  <si>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</si>
  <si>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</si>
  <si>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</si>
  <si>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</si>
  <si>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</si>
  <si>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</si>
  <si>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</si>
  <si>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</si>
  <si>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</si>
  <si>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</si>
  <si>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</si>
  <si>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</si>
  <si>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</si>
  <si>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</si>
  <si>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</si>
  <si>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</si>
  <si>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</si>
  <si>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</si>
  <si>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</si>
  <si>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</si>
  <si>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</si>
  <si>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</si>
  <si>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</si>
  <si>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</si>
  <si>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</si>
  <si>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</si>
  <si>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</si>
  <si>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</si>
  <si>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</si>
  <si>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</si>
  <si>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</si>
  <si>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</si>
  <si>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</si>
  <si>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</si>
  <si>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</si>
  <si>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</si>
  <si>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</si>
  <si>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</si>
  <si>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</si>
  <si>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</si>
  <si>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</si>
  <si>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</si>
  <si>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</si>
  <si>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</si>
  <si>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</si>
  <si>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</si>
  <si>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</si>
  <si>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</si>
  <si>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</si>
  <si>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</si>
  <si>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</si>
  <si>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</si>
  <si>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</si>
  <si>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</si>
  <si>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</si>
  <si>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</si>
  <si>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</si>
  <si>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</si>
  <si>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</si>
  <si>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</si>
  <si>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</si>
  <si>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</si>
  <si>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</si>
  <si>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</si>
  <si>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</si>
  <si>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</si>
  <si>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</si>
  <si>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</si>
  <si>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</si>
  <si>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</si>
  <si>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</si>
  <si>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</si>
  <si>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</si>
  <si>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</si>
  <si>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</si>
  <si>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</si>
  <si>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</si>
  <si>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</si>
  <si>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</si>
  <si>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</si>
  <si>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</si>
  <si>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</si>
  <si>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</si>
  <si>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</si>
  <si>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</si>
  <si>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</si>
  <si>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</si>
  <si>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</si>
  <si>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</si>
  <si>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</si>
  <si>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</si>
  <si>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</si>
  <si>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</si>
  <si>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</si>
  <si>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</si>
  <si>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</si>
  <si>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</si>
  <si>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</si>
  <si>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</si>
  <si>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</si>
  <si>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</si>
  <si>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</si>
  <si>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</si>
  <si>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</si>
  <si>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</si>
  <si>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</si>
  <si>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</si>
  <si>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</si>
  <si>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</si>
  <si>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</si>
  <si>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</si>
  <si>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</si>
  <si>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</si>
  <si>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</si>
  <si>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</si>
  <si>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</si>
  <si>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</si>
  <si>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</si>
  <si>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</si>
  <si>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</si>
  <si>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</si>
  <si>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</si>
  <si>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</si>
  <si>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</si>
  <si>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</si>
  <si>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</si>
  <si>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</si>
  <si>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</si>
  <si>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</si>
  <si>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</si>
  <si>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</si>
  <si>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</si>
  <si>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</si>
  <si>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</si>
  <si>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</si>
  <si>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</si>
  <si>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</si>
  <si>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</si>
  <si>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</si>
  <si>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</si>
  <si>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</si>
  <si>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</si>
  <si>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</si>
  <si>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</si>
  <si>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</si>
  <si>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</si>
  <si>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</si>
  <si>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</si>
  <si>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</si>
  <si>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</si>
  <si>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</si>
  <si>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</si>
  <si>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</si>
  <si>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</si>
  <si>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</si>
  <si>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</si>
  <si>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</si>
  <si>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</si>
  <si>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</si>
  <si>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</si>
  <si>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</si>
  <si>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</si>
  <si>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</si>
  <si>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</si>
  <si>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</si>
  <si>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</si>
  <si>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</si>
  <si>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</si>
  <si>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</si>
  <si>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</si>
  <si>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</si>
  <si>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</si>
  <si>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</si>
  <si>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</si>
  <si>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</si>
  <si>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</si>
  <si>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</si>
  <si>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</si>
  <si>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</si>
  <si>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</si>
  <si>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</si>
  <si>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</si>
  <si>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</si>
  <si>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</si>
  <si>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</si>
  <si>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</si>
  <si>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</si>
  <si>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</si>
  <si>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</si>
  <si>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</si>
  <si>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</si>
  <si>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</si>
  <si>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</si>
  <si>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</si>
  <si>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</si>
  <si>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</si>
  <si>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</si>
  <si>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</si>
  <si>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</si>
  <si>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</si>
  <si>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</si>
  <si>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</si>
  <si>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</si>
  <si>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</si>
  <si>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</si>
  <si>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</si>
  <si>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</si>
  <si>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</si>
  <si>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</si>
  <si>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</si>
  <si>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</si>
  <si>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</si>
  <si>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</si>
  <si>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</si>
  <si>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</si>
  <si>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</si>
  <si>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</si>
  <si>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</si>
  <si>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</si>
  <si>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</si>
  <si>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</si>
  <si>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</si>
  <si>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</si>
  <si>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</si>
  <si>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</si>
  <si>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</si>
  <si>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</si>
  <si>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</si>
  <si>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</si>
  <si>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</si>
  <si>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</si>
  <si>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</si>
  <si>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</si>
  <si>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</si>
  <si>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</si>
  <si>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</si>
  <si>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</si>
  <si>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</si>
  <si>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</si>
  <si>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</si>
  <si>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</si>
  <si>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</si>
  <si>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</si>
  <si>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</si>
  <si>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</si>
  <si>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</si>
  <si>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</si>
  <si>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</si>
  <si>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</si>
  <si>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</si>
  <si>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</si>
  <si>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</si>
  <si>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</si>
  <si>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</si>
  <si>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</si>
  <si>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</si>
  <si>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</si>
  <si>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</si>
  <si>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</si>
  <si>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</si>
  <si>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</si>
  <si>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</si>
  <si>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</si>
  <si>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</si>
  <si>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</si>
  <si>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</si>
  <si>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</si>
  <si>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</si>
  <si>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</si>
  <si>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</si>
  <si>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</si>
  <si>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</si>
  <si>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</si>
  <si>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</si>
  <si>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</si>
  <si>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</si>
  <si>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</si>
  <si>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</si>
  <si>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</si>
  <si>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</si>
  <si>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</si>
  <si>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</si>
  <si>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</si>
  <si>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</si>
  <si>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</si>
  <si>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</si>
  <si>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</si>
  <si>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</si>
  <si>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</si>
  <si>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</si>
  <si>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</si>
  <si>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</si>
  <si>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</si>
  <si>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</si>
  <si>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</si>
  <si>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</si>
  <si>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</si>
  <si>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</si>
  <si>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</si>
  <si>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</si>
  <si>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</si>
  <si>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</si>
  <si>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</si>
  <si>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</si>
  <si>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</si>
  <si>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</si>
  <si>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</si>
  <si>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</si>
  <si>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</si>
  <si>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</si>
  <si>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</si>
  <si>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</si>
  <si>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</si>
  <si>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</si>
  <si>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</si>
  <si>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</si>
  <si>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</si>
  <si>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</si>
  <si>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</si>
  <si>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</si>
  <si>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</si>
  <si>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</si>
  <si>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</si>
  <si>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</si>
  <si>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</si>
  <si>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</si>
  <si>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</si>
  <si>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</si>
  <si>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</si>
  <si>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</si>
  <si>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</si>
  <si>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</si>
  <si>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</si>
  <si>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</si>
  <si>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</si>
  <si>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</si>
  <si>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</si>
  <si>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</si>
  <si>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</si>
  <si>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</si>
  <si>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</si>
  <si>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</si>
  <si>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</si>
  <si>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</si>
  <si>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</si>
  <si>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</si>
  <si>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</si>
  <si>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</si>
  <si>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</si>
  <si>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</si>
  <si>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</si>
  <si>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</si>
  <si>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</si>
  <si>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</si>
  <si>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</si>
  <si>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</si>
  <si>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</si>
  <si>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</si>
  <si>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</si>
  <si>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</si>
  <si>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</si>
  <si>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</si>
  <si>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</si>
  <si>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</si>
  <si>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</si>
  <si>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</si>
  <si>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</si>
  <si>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</si>
  <si>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</si>
  <si>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</si>
  <si>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</si>
  <si>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</si>
  <si>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</si>
  <si>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</si>
  <si>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</si>
  <si>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</si>
  <si>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</si>
  <si>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</si>
  <si>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</si>
  <si>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</si>
  <si>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</si>
  <si>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</si>
  <si>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</si>
  <si>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</si>
  <si>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</si>
  <si>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</si>
  <si>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</si>
  <si>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</si>
  <si>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</si>
  <si>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</si>
  <si>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</si>
  <si>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</si>
  <si>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</si>
  <si>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</si>
  <si>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</si>
  <si>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</si>
  <si>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</si>
  <si>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</si>
  <si>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</si>
  <si>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</si>
  <si>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</si>
  <si>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</si>
  <si>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</si>
  <si>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</si>
  <si>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</si>
  <si>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</si>
  <si>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</si>
  <si>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</si>
  <si>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</si>
  <si>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</si>
  <si>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</si>
  <si>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</si>
  <si>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</si>
  <si>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</si>
  <si>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</si>
  <si>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</si>
  <si>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</si>
  <si>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</si>
  <si>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</si>
  <si>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</si>
  <si>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</si>
  <si>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</si>
  <si>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</si>
  <si>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</si>
  <si>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</si>
  <si>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</si>
  <si>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</si>
  <si>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</si>
  <si>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</si>
  <si>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</si>
  <si>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</si>
  <si>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</si>
  <si>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</si>
  <si>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</si>
  <si>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</si>
  <si>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</si>
  <si>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</si>
  <si>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</si>
  <si>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</si>
  <si>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</si>
  <si>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</si>
  <si>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</si>
  <si>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</si>
  <si>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</si>
  <si>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</si>
  <si>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</si>
  <si>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</si>
  <si>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</si>
  <si>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</si>
  <si>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</si>
  <si>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</si>
  <si>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</si>
  <si>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</si>
  <si>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</si>
  <si>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</si>
  <si>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</si>
  <si>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</si>
  <si>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</si>
  <si>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</si>
  <si>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</si>
  <si>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</si>
  <si>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</si>
  <si>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</si>
  <si>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</si>
  <si>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</si>
  <si>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</si>
  <si>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</si>
  <si>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</si>
  <si>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</si>
  <si>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</si>
  <si>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</si>
  <si>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</si>
  <si>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</si>
  <si>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</si>
  <si>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</si>
  <si>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</si>
  <si>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</si>
  <si>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</si>
  <si>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</si>
  <si>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</si>
  <si>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</si>
  <si>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</si>
  <si>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</si>
  <si>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</si>
  <si>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</si>
  <si>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</si>
  <si>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</si>
  <si>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</si>
  <si>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</si>
  <si>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</si>
  <si>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</si>
  <si>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</si>
  <si>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</si>
  <si>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</si>
  <si>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</si>
  <si>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</si>
  <si>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</si>
  <si>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</si>
  <si>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</si>
  <si>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</si>
  <si>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</si>
  <si>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</si>
  <si>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</si>
  <si>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</si>
  <si>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</si>
  <si>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</si>
  <si>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</si>
  <si>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</si>
  <si>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</si>
  <si>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</si>
  <si>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</si>
  <si>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</si>
  <si>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</si>
  <si>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</si>
  <si>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</si>
  <si>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</si>
  <si>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</si>
  <si>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</si>
  <si>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</si>
  <si>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</si>
  <si>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</si>
  <si>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</si>
  <si>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</si>
  <si>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</si>
  <si>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</si>
  <si>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</si>
  <si>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</si>
  <si>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</si>
  <si>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</si>
  <si>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</si>
  <si>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</si>
  <si>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</si>
  <si>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</si>
  <si>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</si>
  <si>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</si>
  <si>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</si>
  <si>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</si>
  <si>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</si>
  <si>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</si>
  <si>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</si>
  <si>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</si>
  <si>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</si>
  <si>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</si>
  <si>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</si>
  <si>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</si>
  <si>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</si>
  <si>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</si>
  <si>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</si>
  <si>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</si>
  <si>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</si>
  <si>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</si>
  <si>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</si>
  <si>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</si>
  <si>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</si>
  <si>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</si>
  <si>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</si>
  <si>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</si>
  <si>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</si>
  <si>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</si>
  <si>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</si>
  <si>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</si>
  <si>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</si>
  <si>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</si>
  <si>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</si>
  <si>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</si>
  <si>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</si>
  <si>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</si>
  <si>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</si>
  <si>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</si>
  <si>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</si>
  <si>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</si>
  <si>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</si>
  <si>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</si>
  <si>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</si>
  <si>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</si>
  <si>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</si>
  <si>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</si>
  <si>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</si>
  <si>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</si>
  <si>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</si>
  <si>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</si>
  <si>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</si>
  <si>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</si>
  <si>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</si>
  <si>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</si>
  <si>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</si>
  <si>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</si>
  <si>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</si>
  <si>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</si>
  <si>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</si>
  <si>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</si>
  <si>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</si>
  <si>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</si>
  <si>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</si>
  <si>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</si>
  <si>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</si>
  <si>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</si>
  <si>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</si>
  <si>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</si>
  <si>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</si>
  <si>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</si>
  <si>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</si>
  <si>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</si>
  <si>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</si>
  <si>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</si>
  <si>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</si>
  <si>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</si>
  <si>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</si>
  <si>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</si>
  <si>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</si>
  <si>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</si>
  <si>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</si>
  <si>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</si>
  <si>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</si>
  <si>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</si>
  <si>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</si>
  <si>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</si>
  <si>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</si>
  <si>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</si>
  <si>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</si>
  <si>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</si>
  <si>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</si>
  <si>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</si>
  <si>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</si>
  <si>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</si>
  <si>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</si>
  <si>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</si>
  <si>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</si>
  <si>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</si>
  <si>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</si>
  <si>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</si>
  <si>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</si>
  <si>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</si>
  <si>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</si>
  <si>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</si>
  <si>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</si>
  <si>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</si>
  <si>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</si>
  <si>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</si>
  <si>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</si>
  <si>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</si>
  <si>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</si>
  <si>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</si>
  <si>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</si>
  <si>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</si>
  <si>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</si>
  <si>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</si>
  <si>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</si>
  <si>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</si>
  <si>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</si>
  <si>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</si>
  <si>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</si>
  <si>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</si>
  <si>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</si>
  <si>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</si>
  <si>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</si>
  <si>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</si>
  <si>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</si>
  <si>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</si>
  <si>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</si>
  <si>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</si>
  <si>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</si>
  <si>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</si>
  <si>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</si>
  <si>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</si>
  <si>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</si>
  <si>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</si>
  <si>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</si>
  <si>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</si>
  <si>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</si>
  <si>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</si>
  <si>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</si>
  <si>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</si>
  <si>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</si>
  <si>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</si>
  <si>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</si>
  <si>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</si>
  <si>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</si>
  <si>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</si>
  <si>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</si>
  <si>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</si>
  <si>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</si>
  <si>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</si>
  <si>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</si>
  <si>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</si>
  <si>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</si>
  <si>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</si>
  <si>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</si>
  <si>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</si>
  <si>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</si>
  <si>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</si>
  <si>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</si>
  <si>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</si>
  <si>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</si>
  <si>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</si>
  <si>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</si>
  <si>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</si>
  <si>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</si>
  <si>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</si>
  <si>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</si>
  <si>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</si>
  <si>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</si>
  <si>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</si>
  <si>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</si>
  <si>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</si>
  <si>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</si>
  <si>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</si>
  <si>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</si>
  <si>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</si>
  <si>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</si>
  <si>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</si>
  <si>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</si>
  <si>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</si>
  <si>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</si>
  <si>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</si>
  <si>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</si>
  <si>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</si>
  <si>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</si>
  <si>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</si>
  <si>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</si>
  <si>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</si>
  <si>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</si>
  <si>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</si>
  <si>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</si>
  <si>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</si>
  <si>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</si>
  <si>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</si>
  <si>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</si>
  <si>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</si>
  <si>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</si>
  <si>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</si>
  <si>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</si>
  <si>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</si>
  <si>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</si>
  <si>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</si>
  <si>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</si>
  <si>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</si>
  <si>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</si>
  <si>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</si>
  <si>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</si>
  <si>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</si>
  <si>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</si>
  <si>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</si>
  <si>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</si>
  <si>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</si>
  <si>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</si>
  <si>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</si>
  <si>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</si>
  <si>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</si>
  <si>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</si>
  <si>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</si>
  <si>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</si>
  <si>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</si>
  <si>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</si>
  <si>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</si>
  <si>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</si>
  <si>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</si>
  <si>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</si>
  <si>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</si>
  <si>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</si>
  <si>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</si>
  <si>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</si>
  <si>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</si>
  <si>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</si>
  <si>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</si>
  <si>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</si>
  <si>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</si>
  <si>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</si>
  <si>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</si>
  <si>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</si>
  <si>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</si>
  <si>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</si>
  <si>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</si>
  <si>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</si>
  <si>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</si>
  <si>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</si>
  <si>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</si>
  <si>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</si>
  <si>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</si>
  <si>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</si>
  <si>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</si>
  <si>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</si>
  <si>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</si>
  <si>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</si>
  <si>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</si>
  <si>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</si>
  <si>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</si>
  <si>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</si>
  <si>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</si>
  <si>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</si>
  <si>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</si>
  <si>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</si>
  <si>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</si>
  <si>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</si>
  <si>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</si>
  <si>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</si>
  <si>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</si>
  <si>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</si>
  <si>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</si>
  <si>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</si>
  <si>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</si>
  <si>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</si>
  <si>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</si>
  <si>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</si>
  <si>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</si>
  <si>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</si>
  <si>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</si>
  <si>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</si>
  <si>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</si>
  <si>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</si>
  <si>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</si>
  <si>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</si>
  <si>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</si>
  <si>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</si>
  <si>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</si>
  <si>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</si>
  <si>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</si>
  <si>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</si>
  <si>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</si>
  <si>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</si>
  <si>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</si>
  <si>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</si>
  <si>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</si>
  <si>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</si>
  <si>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</si>
  <si>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</si>
  <si>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</si>
  <si>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</si>
  <si>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</si>
  <si>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</si>
  <si>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</si>
  <si>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</si>
  <si>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</si>
  <si>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</si>
  <si>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</si>
  <si>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</si>
  <si>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</si>
  <si>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</si>
  <si>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</si>
  <si>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</si>
  <si>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</si>
  <si>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</si>
  <si>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</si>
  <si>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</si>
  <si>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</si>
  <si>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</si>
  <si>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</si>
  <si>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</si>
  <si>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</si>
  <si>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</si>
  <si>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</si>
  <si>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</si>
  <si>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</si>
  <si>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</si>
  <si>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</si>
  <si>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</si>
  <si>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</si>
  <si>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</si>
  <si>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</si>
  <si>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</si>
  <si>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</si>
  <si>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</si>
  <si>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</si>
  <si>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</si>
  <si>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</si>
  <si>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</si>
  <si>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</si>
  <si>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</si>
  <si>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</si>
  <si>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</si>
  <si>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</si>
  <si>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</si>
  <si>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</si>
  <si>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</si>
  <si>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</si>
  <si>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</si>
  <si>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</si>
  <si>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</si>
  <si>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</si>
  <si>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</si>
  <si>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</si>
  <si>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</si>
  <si>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</si>
  <si>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</si>
  <si>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</si>
  <si>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</si>
  <si>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</si>
  <si>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</si>
  <si>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</si>
  <si>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</si>
  <si>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</si>
  <si>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</si>
  <si>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</si>
  <si>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</si>
  <si>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</si>
  <si>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</si>
  <si>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</si>
  <si>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</si>
  <si>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</si>
  <si>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</si>
  <si>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</si>
  <si>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</si>
  <si>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</si>
  <si>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</si>
  <si>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</si>
  <si>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</si>
  <si>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</si>
  <si>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</si>
  <si>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</si>
  <si>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</si>
  <si>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</si>
  <si>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</si>
  <si>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</si>
  <si>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</si>
  <si>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</si>
  <si>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</si>
  <si>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</si>
  <si>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</si>
  <si>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</si>
  <si>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</si>
  <si>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</si>
  <si>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</si>
  <si>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</si>
  <si>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</si>
  <si>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</si>
  <si>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</si>
  <si>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</si>
  <si>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</si>
  <si>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</si>
  <si>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</si>
  <si>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</si>
  <si>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</si>
  <si>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</si>
  <si>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</si>
  <si>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</si>
  <si>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</si>
  <si>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</si>
  <si>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</si>
  <si>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</si>
  <si>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</si>
  <si>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</si>
  <si>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</si>
  <si>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</si>
  <si>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</si>
  <si>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</si>
  <si>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</si>
  <si>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</si>
  <si>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</si>
  <si>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</si>
  <si>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</si>
  <si>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</si>
  <si>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</si>
  <si>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</si>
  <si>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</si>
  <si>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</si>
  <si>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</si>
  <si>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</si>
  <si>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</si>
  <si>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</si>
  <si>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</si>
  <si>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</si>
  <si>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</si>
  <si>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</si>
  <si>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</si>
  <si>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</si>
  <si>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</si>
  <si>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</si>
  <si>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</si>
  <si>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</si>
  <si>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</si>
  <si>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</si>
  <si>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</si>
  <si>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</si>
  <si>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</si>
  <si>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</si>
  <si>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</si>
  <si>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</si>
  <si>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</si>
  <si>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</si>
  <si>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</si>
  <si>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</si>
  <si>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</si>
  <si>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</si>
  <si>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</si>
  <si>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</si>
  <si>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</si>
  <si>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</si>
  <si>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</si>
  <si>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</si>
  <si>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</si>
  <si>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</si>
  <si>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</si>
  <si>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</si>
  <si>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</si>
  <si>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</si>
  <si>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</si>
  <si>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</si>
  <si>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</si>
  <si>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</si>
  <si>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</si>
  <si>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</si>
  <si>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</si>
  <si>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</si>
  <si>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</si>
  <si>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</si>
  <si>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</si>
  <si>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</si>
  <si>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</si>
  <si>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</si>
  <si>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</si>
  <si>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</si>
  <si>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</si>
  <si>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</si>
  <si>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</si>
  <si>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</si>
  <si>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</si>
  <si>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</si>
  <si>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</si>
  <si>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</si>
  <si>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</si>
  <si>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</si>
  <si>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</si>
  <si>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</si>
  <si>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</si>
  <si>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</si>
  <si>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</si>
  <si>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</si>
  <si>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</si>
  <si>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</si>
  <si>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</si>
  <si>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</si>
  <si>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</si>
  <si>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</si>
  <si>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</si>
  <si>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</si>
  <si>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</si>
  <si>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</si>
  <si>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</si>
  <si>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</si>
  <si>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</si>
  <si>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</si>
  <si>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</si>
  <si>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</si>
  <si>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</si>
  <si>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</si>
  <si>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</si>
  <si>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</si>
  <si>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</si>
  <si>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</si>
  <si>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</si>
  <si>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</si>
  <si>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</si>
  <si>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</si>
  <si>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</si>
  <si>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</si>
  <si>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</si>
  <si>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</si>
  <si>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</si>
  <si>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</si>
  <si>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</si>
  <si>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</si>
  <si>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</si>
  <si>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</si>
  <si>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</si>
  <si>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</si>
  <si>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</si>
  <si>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</si>
  <si>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</si>
  <si>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</si>
  <si>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</si>
  <si>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</si>
  <si>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</si>
  <si>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</si>
  <si>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</si>
  <si>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</si>
  <si>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</si>
  <si>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</si>
  <si>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</si>
  <si>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</si>
  <si>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</si>
  <si>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</si>
  <si>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</si>
  <si>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</si>
  <si>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</si>
  <si>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</si>
  <si>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</si>
  <si>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</si>
  <si>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</si>
  <si>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</si>
  <si>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</si>
  <si>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</si>
  <si>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</si>
  <si>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</si>
  <si>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</si>
  <si>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</si>
  <si>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</si>
  <si>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</si>
  <si>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</si>
  <si>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</si>
  <si>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</si>
  <si>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</si>
  <si>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</si>
  <si>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</si>
  <si>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</si>
  <si>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</si>
  <si>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</si>
  <si>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</si>
  <si>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</si>
  <si>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</si>
  <si>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</si>
  <si>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</si>
  <si>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</si>
  <si>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</si>
  <si>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</si>
  <si>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</si>
  <si>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</si>
  <si>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</si>
  <si>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</si>
  <si>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</si>
  <si>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</si>
  <si>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</si>
  <si>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</si>
  <si>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</si>
  <si>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</si>
  <si>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</si>
  <si>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</si>
  <si>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</si>
  <si>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</si>
  <si>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</si>
  <si>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</si>
  <si>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</si>
  <si>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</si>
  <si>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</si>
  <si>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</si>
  <si>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</si>
  <si>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</si>
  <si>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</si>
  <si>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</si>
  <si>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</si>
  <si>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</si>
  <si>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</si>
  <si>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</si>
  <si>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</si>
  <si>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</si>
  <si>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</si>
  <si>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</si>
  <si>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</si>
  <si>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</si>
  <si>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</si>
  <si>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</si>
  <si>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</si>
  <si>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</si>
  <si>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</si>
  <si>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</si>
  <si>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</si>
  <si>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</si>
  <si>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</si>
  <si>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</si>
  <si>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</si>
  <si>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</si>
  <si>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</si>
  <si>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</si>
  <si>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</si>
  <si>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</si>
  <si>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</si>
  <si>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</si>
  <si>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</si>
  <si>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</si>
  <si>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</si>
  <si>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</si>
  <si>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</si>
  <si>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</si>
  <si>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</si>
  <si>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</si>
  <si>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</si>
  <si>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</si>
  <si>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</si>
  <si>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</si>
  <si>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</si>
  <si>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</si>
  <si>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</si>
  <si>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</si>
  <si>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</si>
  <si>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</si>
  <si>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</si>
  <si>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</si>
  <si>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</si>
  <si>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</si>
  <si>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</si>
  <si>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</si>
  <si>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</si>
  <si>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</si>
  <si>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</si>
  <si>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</si>
  <si>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</si>
  <si>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</si>
  <si>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</si>
  <si>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</si>
  <si>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</si>
  <si>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</si>
  <si>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</si>
  <si>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</si>
  <si>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</si>
  <si>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</si>
  <si>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</si>
  <si>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</si>
  <si>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</si>
  <si>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</si>
  <si>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</si>
  <si>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</si>
  <si>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</si>
  <si>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</si>
  <si>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</si>
  <si>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</si>
  <si>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</si>
  <si>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</si>
  <si>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</si>
  <si>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</si>
  <si>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</si>
  <si>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</si>
  <si>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</si>
  <si>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</si>
  <si>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</si>
  <si>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</si>
  <si>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</si>
  <si>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</si>
  <si>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</si>
  <si>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</si>
  <si>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</si>
  <si>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</si>
  <si>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</si>
  <si>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</si>
  <si>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</si>
  <si>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</si>
  <si>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</si>
  <si>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</si>
  <si>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</si>
  <si>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</si>
  <si>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</si>
  <si>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</si>
  <si>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</si>
  <si>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</si>
  <si>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</si>
  <si>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</si>
  <si>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</si>
  <si>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</si>
  <si>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</si>
  <si>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</si>
  <si>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</si>
  <si>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</si>
  <si>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</si>
  <si>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</si>
  <si>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</si>
  <si>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</si>
  <si>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</si>
  <si>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</si>
  <si>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</si>
  <si>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</si>
  <si>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</si>
  <si>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</si>
  <si>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</si>
  <si>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</si>
  <si>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</si>
  <si>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</si>
  <si>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</si>
  <si>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</si>
  <si>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</si>
  <si>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</si>
  <si>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</si>
  <si>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</si>
  <si>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</si>
  <si>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</si>
  <si>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</si>
  <si>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</si>
  <si>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</si>
  <si>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</si>
  <si>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</si>
  <si>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</si>
  <si>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</si>
  <si>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</si>
  <si>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</si>
  <si>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</si>
  <si>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</si>
  <si>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</si>
  <si>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</si>
  <si>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</si>
  <si>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</si>
  <si>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</si>
  <si>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</si>
  <si>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</si>
  <si>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</si>
  <si>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</si>
  <si>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</si>
  <si>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</si>
  <si>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</si>
  <si>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</si>
  <si>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</si>
  <si>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</si>
  <si>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</si>
  <si>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</si>
  <si>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</si>
  <si>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</si>
  <si>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</si>
  <si>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</si>
  <si>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</si>
  <si>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</si>
  <si>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</si>
  <si>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</si>
  <si>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</si>
  <si>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</si>
  <si>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</si>
  <si>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</si>
  <si>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</si>
  <si>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</si>
  <si>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</si>
  <si>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</si>
  <si>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</si>
  <si>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</si>
  <si>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</si>
  <si>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</si>
  <si>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</si>
  <si>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</si>
  <si>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</si>
  <si>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</si>
  <si>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</si>
  <si>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</si>
  <si>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</si>
  <si>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</si>
  <si>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</si>
  <si>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</si>
  <si>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</si>
  <si>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</si>
  <si>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</si>
  <si>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</si>
  <si>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</si>
  <si>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</si>
  <si>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</si>
  <si>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</si>
  <si>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</si>
  <si>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</si>
  <si>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</si>
  <si>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</si>
  <si>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</si>
  <si>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</si>
  <si>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</si>
  <si>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</si>
  <si>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</si>
  <si>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</si>
  <si>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</si>
  <si>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</si>
  <si>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</si>
  <si>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</si>
  <si>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</si>
  <si>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</si>
  <si>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</si>
  <si>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</si>
  <si>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</si>
  <si>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</si>
  <si>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</si>
  <si>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</si>
  <si>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</si>
  <si>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</si>
  <si>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</si>
  <si>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</si>
  <si>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</si>
  <si>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</si>
  <si>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</si>
  <si>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</si>
  <si>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</si>
  <si>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</si>
  <si>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</si>
  <si>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</si>
  <si>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</si>
  <si>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</si>
  <si>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</si>
  <si>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</si>
  <si>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</si>
  <si>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</si>
  <si>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</si>
  <si>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</si>
  <si>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</si>
  <si>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</si>
  <si>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</si>
  <si>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</si>
  <si>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</si>
  <si>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</si>
  <si>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</si>
  <si>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</si>
  <si>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</si>
  <si>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</si>
  <si>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</si>
  <si>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</si>
  <si>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</si>
  <si>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</si>
  <si>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</si>
  <si>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</si>
  <si>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</si>
  <si>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</si>
  <si>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</si>
  <si>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</si>
  <si>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</si>
  <si>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</si>
  <si>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</si>
  <si>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</si>
  <si>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</si>
  <si>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</si>
  <si>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</si>
  <si>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</si>
  <si>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</si>
  <si>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</si>
  <si>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</si>
  <si>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</si>
  <si>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</si>
  <si>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</si>
  <si>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</si>
  <si>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</si>
  <si>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</si>
  <si>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</si>
  <si>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</si>
  <si>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</si>
  <si>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</si>
  <si>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</si>
  <si>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</si>
  <si>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</si>
  <si>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</si>
  <si>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</si>
  <si>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</si>
  <si>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</si>
  <si>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</si>
  <si>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</si>
  <si>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</si>
  <si>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</si>
  <si>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</si>
  <si>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</si>
  <si>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</si>
  <si>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</si>
  <si>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</si>
  <si>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</si>
  <si>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</si>
  <si>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</si>
  <si>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</si>
  <si>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</si>
  <si>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</si>
  <si>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</si>
  <si>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</si>
  <si>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</si>
  <si>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</si>
  <si>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</si>
  <si>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</si>
  <si>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</si>
  <si>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</si>
  <si>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</si>
  <si>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</si>
  <si>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</si>
  <si>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</si>
  <si>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</si>
  <si>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</si>
  <si>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</si>
  <si>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</si>
  <si>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</si>
  <si>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</si>
  <si>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</si>
  <si>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</si>
  <si>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</si>
  <si>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</si>
  <si>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</si>
  <si>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</si>
  <si>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</si>
  <si>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</si>
  <si>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</si>
  <si>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</si>
  <si>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</si>
  <si>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</si>
  <si>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</si>
  <si>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</si>
  <si>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</si>
  <si>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</si>
  <si>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</si>
  <si>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</si>
  <si>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</si>
  <si>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</si>
  <si>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</si>
  <si>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</si>
  <si>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</si>
  <si>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</si>
  <si>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</si>
  <si>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</si>
  <si>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</si>
  <si>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</si>
  <si>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</si>
  <si>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</si>
  <si>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</si>
  <si>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</si>
  <si>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</si>
  <si>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</si>
  <si>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</si>
  <si>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</si>
  <si>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</si>
  <si>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</si>
  <si>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</si>
  <si>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</si>
  <si>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</si>
  <si>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</si>
  <si>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</si>
  <si>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</si>
  <si>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</si>
  <si>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</si>
  <si>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</si>
  <si>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</si>
  <si>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</si>
  <si>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</si>
  <si>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</si>
  <si>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</si>
  <si>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</si>
  <si>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</si>
  <si>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</si>
  <si>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</si>
  <si>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</si>
  <si>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</si>
  <si>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</si>
  <si>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</si>
  <si>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</si>
  <si>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</si>
  <si>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</si>
  <si>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</si>
  <si>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</si>
  <si>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</si>
  <si>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</si>
  <si>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</si>
  <si>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</si>
  <si>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</si>
  <si>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</si>
  <si>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</si>
  <si>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</si>
  <si>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</si>
  <si>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</si>
  <si>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</si>
  <si>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</si>
  <si>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</si>
  <si>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</si>
  <si>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</si>
  <si>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</si>
  <si>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</si>
  <si>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</si>
  <si>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</si>
  <si>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</si>
  <si>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</si>
  <si>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</si>
  <si>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</si>
  <si>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</si>
  <si>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</si>
  <si>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</si>
  <si>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</si>
  <si>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</si>
  <si>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</si>
  <si>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</si>
  <si>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</si>
  <si>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</si>
  <si>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</si>
  <si>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</si>
  <si>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</si>
  <si>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</si>
  <si>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</si>
  <si>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</si>
  <si>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</si>
  <si>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</si>
  <si>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</si>
  <si>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</si>
  <si>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</si>
  <si>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</si>
  <si>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</si>
  <si>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</si>
  <si>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</si>
  <si>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</si>
  <si>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</si>
  <si>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</si>
  <si>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</si>
  <si>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</si>
  <si>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</si>
  <si>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</si>
  <si>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</si>
  <si>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</si>
  <si>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</si>
  <si>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</si>
  <si>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</si>
  <si>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</si>
  <si>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</si>
  <si>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</si>
  <si>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</si>
  <si>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</si>
  <si>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</si>
  <si>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</si>
  <si>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</si>
  <si>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</si>
  <si>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</si>
  <si>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</si>
  <si>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</si>
  <si>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</si>
  <si>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</si>
  <si>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</si>
  <si>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</si>
  <si>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</si>
  <si>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</si>
  <si>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</si>
  <si>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</si>
  <si>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</si>
  <si>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</si>
  <si>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</si>
  <si>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</si>
  <si>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</si>
  <si>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</si>
  <si>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</si>
  <si>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</si>
  <si>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</si>
  <si>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</si>
  <si>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</si>
  <si>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</si>
  <si>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</si>
  <si>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</si>
  <si>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</si>
  <si>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</si>
  <si>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</si>
  <si>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</si>
  <si>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</si>
  <si>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</si>
  <si>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</si>
  <si>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</si>
  <si>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</si>
  <si>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</si>
  <si>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</si>
  <si>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</si>
  <si>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</si>
  <si>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</si>
  <si>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</si>
  <si>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</si>
  <si>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</si>
  <si>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</si>
  <si>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</si>
  <si>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</si>
  <si>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</si>
  <si>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</si>
  <si>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</si>
  <si>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</si>
  <si>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</si>
  <si>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</si>
  <si>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</si>
  <si>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</si>
  <si>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</si>
  <si>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</si>
  <si>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</si>
  <si>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</si>
  <si>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</si>
  <si>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</si>
  <si>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</si>
  <si>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</si>
  <si>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</si>
  <si>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</si>
  <si>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</si>
  <si>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</si>
  <si>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</si>
  <si>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</si>
  <si>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</si>
  <si>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</si>
  <si>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</si>
  <si>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</si>
  <si>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</si>
  <si>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</si>
  <si>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</si>
  <si>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</si>
  <si>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</si>
  <si>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</si>
  <si>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</si>
  <si>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</si>
  <si>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</si>
  <si>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</si>
  <si>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</si>
  <si>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</si>
  <si>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</si>
  <si>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</si>
  <si>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</si>
  <si>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</si>
  <si>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</si>
  <si>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</si>
  <si>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</si>
  <si>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</si>
  <si>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</si>
  <si>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</si>
  <si>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</si>
  <si>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</si>
  <si>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</si>
  <si>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</si>
  <si>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</si>
  <si>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</si>
  <si>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</si>
  <si>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</si>
  <si>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</si>
  <si>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</si>
  <si>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</si>
  <si>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</si>
  <si>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</si>
  <si>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</si>
  <si>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</si>
  <si>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</si>
  <si>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</si>
  <si>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</si>
  <si>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</si>
  <si>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</si>
  <si>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</si>
  <si>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</si>
  <si>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</si>
  <si>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</si>
  <si>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</si>
  <si>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</si>
  <si>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</si>
  <si>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</si>
  <si>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</si>
  <si>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</si>
  <si>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</si>
  <si>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</si>
  <si>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</si>
  <si>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</si>
  <si>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</si>
  <si>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</si>
  <si>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</si>
  <si>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</si>
  <si>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</si>
  <si>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</si>
  <si>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</si>
  <si>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</si>
  <si>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</si>
  <si>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</si>
  <si>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</si>
  <si>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</si>
  <si>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</si>
  <si>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</si>
  <si>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</si>
  <si>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</si>
  <si>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</si>
  <si>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</si>
  <si>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</si>
  <si>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</si>
  <si>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</si>
  <si>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</si>
  <si>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</si>
  <si>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</si>
  <si>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</si>
  <si>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</si>
  <si>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</si>
  <si>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</si>
  <si>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</si>
  <si>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</si>
  <si>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</si>
  <si>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</si>
  <si>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</si>
  <si>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</si>
  <si>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</si>
  <si>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</si>
  <si>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</si>
  <si>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</si>
  <si>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</si>
  <si>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</si>
  <si>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</si>
  <si>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</si>
  <si>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</si>
  <si>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</si>
  <si>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</si>
  <si>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</si>
  <si>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</si>
  <si>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</si>
  <si>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</si>
  <si>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</si>
  <si>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</si>
  <si>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</si>
  <si>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</si>
  <si>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</si>
  <si>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</si>
  <si>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</si>
  <si>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</si>
  <si>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</si>
  <si>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</si>
  <si>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</si>
  <si>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</si>
  <si>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</si>
  <si>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</si>
  <si>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</si>
  <si>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</si>
  <si>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</si>
  <si>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</si>
  <si>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</si>
  <si>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</si>
  <si>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</si>
  <si>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</si>
  <si>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</si>
  <si>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</si>
  <si>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</si>
  <si>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</si>
  <si>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</si>
  <si>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</si>
  <si>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</si>
  <si>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</si>
  <si>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</si>
  <si>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</si>
  <si>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</si>
  <si>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</si>
  <si>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</si>
  <si>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</si>
  <si>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</si>
  <si>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</si>
  <si>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</si>
  <si>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</si>
  <si>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</si>
  <si>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</si>
  <si>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</si>
  <si>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</si>
  <si>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</si>
  <si>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</si>
  <si>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</si>
  <si>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</si>
  <si>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</si>
  <si>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</si>
  <si>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</si>
  <si>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</si>
  <si>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</si>
  <si>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</si>
  <si>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</si>
  <si>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</si>
  <si>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</si>
  <si>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</si>
  <si>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</si>
  <si>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</si>
  <si>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</si>
  <si>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</si>
  <si>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</si>
  <si>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</si>
  <si>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</si>
  <si>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</si>
  <si>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</si>
  <si>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</si>
  <si>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</si>
  <si>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</si>
  <si>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</si>
  <si>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</si>
  <si>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</si>
  <si>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</si>
  <si>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</si>
  <si>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</si>
  <si>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</si>
  <si>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</si>
  <si>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</si>
  <si>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</si>
  <si>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</si>
  <si>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</si>
  <si>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</si>
  <si>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</si>
  <si>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</si>
  <si>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</si>
  <si>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</si>
  <si>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</si>
  <si>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</si>
  <si>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</si>
  <si>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</si>
  <si>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</si>
  <si>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</si>
  <si>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</si>
  <si>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</si>
  <si>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</si>
  <si>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</si>
  <si>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</si>
  <si>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</si>
  <si>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</si>
  <si>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</si>
  <si>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</si>
  <si>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</si>
  <si>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</si>
  <si>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</si>
  <si>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</si>
  <si>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</si>
  <si>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</si>
  <si>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</si>
  <si>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</si>
  <si>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</si>
  <si>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</si>
  <si>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</si>
  <si>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</si>
  <si>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</si>
  <si>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</si>
  <si>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</si>
  <si>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</si>
  <si>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</si>
  <si>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</si>
  <si>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</si>
  <si>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</si>
  <si>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</si>
  <si>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</si>
  <si>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</si>
  <si>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</si>
  <si>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</si>
  <si>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</si>
  <si>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</si>
  <si>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</si>
  <si>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</si>
  <si>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</si>
  <si>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</si>
  <si>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</si>
  <si>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</si>
  <si>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</si>
  <si>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</si>
  <si>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</si>
  <si>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</si>
  <si>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</si>
  <si>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</si>
  <si>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</si>
  <si>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</si>
  <si>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</si>
  <si>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</si>
  <si>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</si>
  <si>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</si>
  <si>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</si>
  <si>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</si>
  <si>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</si>
  <si>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</si>
  <si>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</si>
  <si>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</si>
  <si>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</si>
  <si>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</si>
  <si>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</si>
  <si>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</si>
  <si>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</si>
  <si>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</si>
  <si>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</si>
  <si>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</si>
  <si>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</si>
  <si>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</si>
  <si>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</si>
  <si>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</si>
  <si>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</si>
  <si>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</si>
  <si>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</si>
  <si>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</si>
  <si>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</si>
  <si>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</si>
  <si>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</si>
  <si>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</si>
  <si>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</si>
  <si>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</si>
  <si>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</si>
  <si>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</si>
  <si>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</si>
  <si>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</si>
  <si>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</si>
  <si>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</si>
  <si>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</si>
  <si>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</si>
  <si>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</si>
  <si>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</si>
  <si>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</si>
  <si>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</si>
  <si>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</si>
  <si>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</si>
  <si>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</si>
  <si>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</si>
  <si>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</si>
  <si>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</si>
  <si>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</si>
  <si>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</si>
  <si>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</si>
  <si>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</si>
  <si>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</si>
  <si>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</si>
  <si>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</si>
  <si>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</si>
  <si>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</si>
  <si>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</si>
  <si>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</si>
  <si>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</si>
  <si>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</si>
  <si>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</si>
  <si>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</si>
  <si>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</si>
  <si>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</si>
  <si>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</si>
  <si>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</si>
  <si>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</si>
  <si>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</si>
  <si>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</si>
  <si>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</si>
  <si>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</si>
  <si>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</si>
  <si>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</si>
  <si>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</si>
  <si>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</si>
  <si>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</si>
  <si>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</si>
  <si>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</si>
  <si>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</si>
  <si>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</si>
  <si>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</si>
  <si>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</si>
  <si>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</si>
  <si>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</si>
  <si>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</si>
  <si>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</si>
  <si>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</si>
  <si>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</si>
  <si>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</si>
  <si>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</si>
  <si>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</si>
  <si>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</si>
  <si>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</si>
  <si>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</si>
  <si>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</si>
  <si>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</si>
  <si>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</si>
  <si>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</si>
  <si>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</si>
  <si>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</si>
  <si>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</si>
  <si>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</si>
  <si>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</si>
  <si>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</si>
  <si>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</si>
  <si>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</si>
  <si>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</si>
  <si>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</si>
  <si>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</si>
  <si>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</si>
  <si>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</si>
  <si>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</si>
  <si>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</si>
  <si>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</si>
  <si>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</si>
  <si>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</si>
  <si>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</si>
  <si>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</si>
  <si>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</si>
  <si>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</si>
  <si>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</si>
  <si>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</si>
  <si>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</si>
  <si>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</si>
  <si>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</si>
  <si>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</si>
  <si>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</si>
  <si>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</si>
  <si>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</si>
  <si>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</si>
  <si>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</si>
  <si>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</si>
  <si>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</si>
  <si>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</si>
  <si>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</si>
  <si>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</si>
  <si>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</si>
  <si>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</si>
  <si>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</si>
  <si>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</si>
  <si>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</si>
  <si>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</si>
  <si>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</si>
  <si>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</si>
  <si>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</si>
  <si>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</si>
  <si>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</si>
  <si>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</si>
  <si>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</si>
  <si>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</si>
  <si>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</si>
  <si>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</si>
  <si>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</si>
  <si>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</si>
  <si>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</si>
  <si>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</si>
  <si>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</si>
  <si>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</si>
  <si>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</si>
  <si>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</si>
  <si>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</si>
  <si>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</si>
  <si>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</si>
  <si>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</si>
  <si>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</si>
  <si>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</si>
  <si>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</si>
  <si>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</si>
  <si>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</si>
  <si>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</si>
  <si>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</si>
  <si>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</si>
  <si>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</si>
  <si>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</si>
  <si>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</si>
  <si>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</si>
  <si>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</si>
  <si>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</si>
  <si>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</si>
  <si>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</si>
  <si>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</si>
  <si>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</si>
  <si>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</si>
  <si>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</si>
  <si>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</si>
  <si>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</si>
  <si>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</si>
  <si>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</si>
  <si>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</si>
  <si>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</si>
  <si>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</si>
  <si>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</si>
  <si>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</si>
  <si>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</si>
  <si>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</si>
  <si>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</si>
  <si>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</si>
  <si>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</si>
  <si>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</si>
  <si>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</si>
  <si>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</si>
  <si>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</si>
  <si>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</si>
  <si>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</si>
  <si>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</si>
  <si>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</si>
  <si>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</si>
  <si>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</si>
  <si>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</si>
  <si>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</si>
  <si>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</si>
  <si>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</si>
  <si>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</si>
  <si>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</si>
  <si>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</si>
  <si>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</si>
  <si>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</si>
  <si>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</si>
  <si>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</si>
  <si>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</si>
  <si>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</si>
  <si>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</si>
  <si>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</si>
  <si>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</si>
  <si>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</si>
  <si>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</si>
  <si>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</si>
  <si>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</si>
  <si>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</si>
  <si>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</si>
  <si>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</si>
  <si>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</si>
  <si>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</si>
  <si>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</si>
  <si>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</si>
  <si>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</si>
  <si>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</si>
  <si>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</si>
  <si>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</si>
  <si>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</si>
  <si>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</si>
  <si>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</si>
  <si>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</si>
  <si>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</si>
  <si>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</si>
  <si>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</si>
  <si>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</si>
  <si>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</si>
  <si>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</si>
  <si>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</si>
  <si>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</si>
  <si>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</si>
  <si>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</si>
  <si>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</si>
  <si>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</si>
  <si>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</si>
  <si>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</si>
  <si>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</si>
  <si>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</si>
  <si>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</si>
  <si>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</si>
  <si>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</si>
  <si>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</si>
  <si>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</si>
  <si>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</si>
  <si>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</si>
  <si>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</si>
  <si>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</si>
  <si>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</si>
  <si>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</si>
  <si>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</si>
  <si>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</si>
  <si>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</si>
  <si>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</si>
  <si>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</si>
  <si>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</si>
  <si>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</si>
  <si>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</si>
  <si>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</si>
  <si>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</si>
  <si>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</si>
  <si>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</si>
  <si>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</si>
  <si>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</si>
  <si>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</si>
  <si>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</si>
  <si>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</si>
  <si>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</si>
  <si>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</si>
  <si>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</si>
  <si>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</si>
  <si>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COLEGIO GIMNASIO BASTIDAS</t>
  </si>
  <si>
    <t>INSTITUCION EDUCATIVA DISTRITAL RODRIGO DE BASTIDAS</t>
  </si>
  <si>
    <t>23/2020/180</t>
  </si>
  <si>
    <t>1</t>
  </si>
  <si>
    <t>4/02/2016</t>
  </si>
  <si>
    <t>30/11/2016</t>
  </si>
  <si>
    <t>2</t>
  </si>
  <si>
    <t>4/02/2019</t>
  </si>
  <si>
    <t>31/08/2019</t>
  </si>
  <si>
    <t>16</t>
  </si>
  <si>
    <t>7/02/2017</t>
  </si>
  <si>
    <t>30/11/2017</t>
  </si>
  <si>
    <t>21</t>
  </si>
  <si>
    <t>5/02/2018</t>
  </si>
  <si>
    <t>30/11/2018</t>
  </si>
  <si>
    <t>Prestar el servicio hogares comunitarios de bienestar tradicional comunitario de conformidad con las directrices, lineamientos y parámetros establecidos por el ICBF, en armonía con la política de estado para el desarrollo integral de la primera infancia de Cero a Siempre”</t>
  </si>
  <si>
    <t>PRESTACION DE SERVICIOS EN ATENCION INTEGRAL DE LOS GRADOS PREJARDIN, JARDIN Y TRANSICIÓN EN EDUCACIÓN INICIAL, TENIENDO EN CUENTA LOS COMPONENTES DE ATENCIÓN PSICOSOCIAL, NUTRICIÓN Y CUIDADO A LOS NIÑOS, NIÑAS MENORES DE 5 AÑOS INSCRITOS EN LA INSTITUCION EDUCATIVA</t>
  </si>
  <si>
    <t>ARTICULAR ACCIONES, ESFUERZOS, Y CAPACIDADES PARA LA ATENCIÓN DE LOS NIÑOS Y NIÑAS DE PREESCOLAR, TRANSICIÓN, BASICA PRIMARIA Y MEDIA VOCACIONAL, CUYAS EDADES SE ENCUENTRAN ENTRE 4, 5, 6 HASTA LOS 17 AÑOS Y LOS NIÑOS, NIÑAS EN LOS GRADOS DE 1 A 5 PRIMARIA, HASTA LA EDAD 12 AÑOS</t>
  </si>
  <si>
    <t>Prestar los servicios para la atención a la primera infancia en los hogares comunitarios de bienestar HCB, de conformidad con el manual operativo de la modalidad comunitaria y el servicio HCB Familia Mujeres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</si>
  <si>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20004302020</t>
  </si>
  <si>
    <t>ICBF-CA -313-2020</t>
  </si>
  <si>
    <t>Prestar los servicios de educación inicial en el marco de la atenciòn integral   a los servicios de HCB TRADICIONAL,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</si>
  <si>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</si>
  <si>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JOSE LUIS CATAÑO ECHEVERRI</t>
  </si>
  <si>
    <t>CALLE 26 No 17 A 38</t>
  </si>
  <si>
    <t>3217647239</t>
  </si>
  <si>
    <t>Calle 26 No 17 A 38</t>
  </si>
  <si>
    <t>funclavid@gmail.com</t>
  </si>
  <si>
    <t>2021808001492020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</si>
</sst>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165" fontId="3" fillId="3" borderId="1" xfId="0" applyNumberFormat="1" applyFont="1" applyFill="1" applyBorder="1" applyAlignment="1" applyProtection="1">
      <alignment vertical="center"/>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1" zoomScale="85" zoomScaleNormal="85" zoomScaleSheetLayoutView="40" zoomScalePageLayoutView="40" workbookViewId="0">
      <selection activeCell="C20" sqref="C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1" t="s">
        <v>2654</v>
      </c>
      <c r="D2" s="212"/>
      <c r="E2" s="212"/>
      <c r="F2" s="212"/>
      <c r="G2" s="212"/>
      <c r="H2" s="212"/>
      <c r="I2" s="212"/>
      <c r="J2" s="212"/>
      <c r="K2" s="212"/>
      <c r="L2" s="232" t="s">
        <v>2640</v>
      </c>
      <c r="M2" s="232"/>
      <c r="N2" s="237" t="s">
        <v>2641</v>
      </c>
      <c r="O2" s="238"/>
    </row>
    <row r="3" spans="1:20" ht="33" customHeight="1" x14ac:dyDescent="0.25">
      <c r="A3" s="9"/>
      <c r="B3" s="8"/>
      <c r="C3" s="213"/>
      <c r="D3" s="214"/>
      <c r="E3" s="214"/>
      <c r="F3" s="214"/>
      <c r="G3" s="214"/>
      <c r="H3" s="214"/>
      <c r="I3" s="214"/>
      <c r="J3" s="214"/>
      <c r="K3" s="214"/>
      <c r="L3" s="239" t="s">
        <v>1</v>
      </c>
      <c r="M3" s="239"/>
      <c r="N3" s="239" t="s">
        <v>2642</v>
      </c>
      <c r="O3" s="241"/>
    </row>
    <row r="4" spans="1:20" ht="24.75" customHeight="1" thickBot="1" x14ac:dyDescent="0.3">
      <c r="A4" s="10"/>
      <c r="B4" s="12"/>
      <c r="C4" s="215"/>
      <c r="D4" s="216"/>
      <c r="E4" s="216"/>
      <c r="F4" s="216"/>
      <c r="G4" s="216"/>
      <c r="H4" s="216"/>
      <c r="I4" s="216"/>
      <c r="J4" s="216"/>
      <c r="K4" s="216"/>
      <c r="L4" s="242" t="s">
        <v>0</v>
      </c>
      <c r="M4" s="242"/>
      <c r="N4" s="242"/>
      <c r="O4" s="24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3" t="str">
        <f>HYPERLINK("#MI_Oferente_Singular!A114","CAPACIDAD RESIDUAL")</f>
        <v>CAPACIDAD RESIDUAL</v>
      </c>
      <c r="F8" s="234"/>
      <c r="G8" s="235"/>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3" t="str">
        <f>HYPERLINK("#MI_Oferente_Singular!A162","TALENTO HUMANO")</f>
        <v>TALENTO HUMANO</v>
      </c>
      <c r="F9" s="234"/>
      <c r="G9" s="235"/>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3" t="str">
        <f>HYPERLINK("#MI_Oferente_Singular!F162","INFRAESTRUCTURA")</f>
        <v>INFRAESTRUCTURA</v>
      </c>
      <c r="F10" s="234"/>
      <c r="G10" s="235"/>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2705</v>
      </c>
      <c r="D15" s="35"/>
      <c r="E15" s="35"/>
      <c r="F15" s="5"/>
      <c r="G15" s="32" t="s">
        <v>1168</v>
      </c>
      <c r="H15" s="102" t="s">
        <v>163</v>
      </c>
      <c r="I15" s="32" t="s">
        <v>2624</v>
      </c>
      <c r="J15" s="107" t="s">
        <v>2626</v>
      </c>
      <c r="L15" s="217" t="s">
        <v>8</v>
      </c>
      <c r="M15" s="217"/>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6" t="s">
        <v>2639</v>
      </c>
      <c r="I19" s="133" t="s">
        <v>11</v>
      </c>
      <c r="J19" s="134" t="s">
        <v>10</v>
      </c>
      <c r="K19" s="134" t="s">
        <v>2609</v>
      </c>
      <c r="L19" s="134" t="s">
        <v>1161</v>
      </c>
      <c r="M19" s="134" t="s">
        <v>1162</v>
      </c>
      <c r="N19" s="135" t="s">
        <v>2610</v>
      </c>
      <c r="O19" s="130"/>
      <c r="Q19" s="51"/>
      <c r="R19" s="51"/>
    </row>
    <row r="20" spans="1:23" ht="30" customHeight="1" x14ac:dyDescent="0.25">
      <c r="A20" s="9"/>
      <c r="B20" s="108">
        <v>900949110</v>
      </c>
      <c r="C20" s="5"/>
      <c r="D20" s="73"/>
      <c r="E20" s="5"/>
      <c r="F20" s="5"/>
      <c r="G20" s="5"/>
      <c r="H20" s="236"/>
      <c r="I20" s="142" t="s">
        <v>163</v>
      </c>
      <c r="J20" s="143" t="s">
        <v>174</v>
      </c>
      <c r="K20" s="144">
        <v>5408459900</v>
      </c>
      <c r="L20" s="145">
        <v>44197</v>
      </c>
      <c r="M20" s="145">
        <v>44561</v>
      </c>
      <c r="N20" s="128">
        <f>+(M20-L20)/30</f>
        <v>12.133333333333333</v>
      </c>
      <c r="O20" s="131"/>
      <c r="U20" s="127"/>
      <c r="V20" s="104">
        <f ca="1">NOW()</f>
        <v>44193.063439699072</v>
      </c>
      <c r="W20" s="104">
        <f ca="1">NOW()</f>
        <v>44193.063439699072</v>
      </c>
    </row>
    <row r="21" spans="1:23" ht="30" customHeight="1" outlineLevel="1" x14ac:dyDescent="0.25">
      <c r="A21" s="9"/>
      <c r="B21" s="71"/>
      <c r="C21" s="5"/>
      <c r="D21" s="5"/>
      <c r="E21" s="5"/>
      <c r="F21" s="5"/>
      <c r="G21" s="5"/>
      <c r="H21" s="70"/>
      <c r="I21" s="142" t="s">
        <v>163</v>
      </c>
      <c r="J21" s="143" t="s">
        <v>180</v>
      </c>
      <c r="K21" s="144"/>
      <c r="L21" s="145"/>
      <c r="M21" s="145"/>
      <c r="N21" s="128">
        <f t="shared" ref="N21:N35" si="0">+(M21-L21)/30</f>
        <v>0</v>
      </c>
      <c r="O21" s="132"/>
    </row>
    <row r="22" spans="1:23" ht="30" customHeight="1" outlineLevel="1" x14ac:dyDescent="0.25">
      <c r="A22" s="9"/>
      <c r="B22" s="71"/>
      <c r="C22" s="5"/>
      <c r="D22" s="5"/>
      <c r="E22" s="5"/>
      <c r="F22" s="5"/>
      <c r="G22" s="5"/>
      <c r="H22" s="70"/>
      <c r="I22" s="142" t="s">
        <v>163</v>
      </c>
      <c r="J22" s="143" t="s">
        <v>182</v>
      </c>
      <c r="K22" s="144"/>
      <c r="L22" s="145"/>
      <c r="M22" s="145"/>
      <c r="N22" s="129">
        <f t="shared" ref="N22:N33" si="1">+(M22-L22)/30</f>
        <v>0</v>
      </c>
      <c r="O22" s="132"/>
    </row>
    <row r="23" spans="1:23" ht="30" customHeight="1" outlineLevel="1" x14ac:dyDescent="0.25">
      <c r="A23" s="9"/>
      <c r="B23" s="101"/>
      <c r="C23" s="21"/>
      <c r="D23" s="21"/>
      <c r="E23" s="21"/>
      <c r="F23" s="5"/>
      <c r="G23" s="5"/>
      <c r="H23" s="70"/>
      <c r="I23" s="142" t="s">
        <v>163</v>
      </c>
      <c r="J23" s="143" t="s">
        <v>184</v>
      </c>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2"/>
      <c r="I37" s="123"/>
      <c r="J37" s="123"/>
      <c r="K37" s="123"/>
      <c r="L37" s="123"/>
      <c r="M37" s="123"/>
      <c r="N37" s="123"/>
      <c r="O37" s="124"/>
    </row>
    <row r="38" spans="1:16" ht="21" customHeight="1" x14ac:dyDescent="0.25">
      <c r="A38" s="9"/>
      <c r="B38" s="231" t="str">
        <f>VLOOKUP(B20,EAS!A2:B1439,2,0)</f>
        <v>FUNDACION CLAMOR POR LA VIDA</v>
      </c>
      <c r="C38" s="231"/>
      <c r="D38" s="231"/>
      <c r="E38" s="231"/>
      <c r="F38" s="231"/>
      <c r="G38" s="5"/>
      <c r="H38" s="125"/>
      <c r="I38" s="240" t="s">
        <v>7</v>
      </c>
      <c r="J38" s="240"/>
      <c r="K38" s="240"/>
      <c r="L38" s="240"/>
      <c r="M38" s="240"/>
      <c r="N38" s="240"/>
      <c r="O38" s="126"/>
    </row>
    <row r="39" spans="1:16" ht="42.95" customHeight="1" thickBot="1" x14ac:dyDescent="0.3">
      <c r="A39" s="10"/>
      <c r="B39" s="11"/>
      <c r="C39" s="11"/>
      <c r="D39" s="11"/>
      <c r="E39" s="11"/>
      <c r="F39" s="11"/>
      <c r="G39" s="11"/>
      <c r="H39" s="10"/>
      <c r="I39" s="226" t="s">
        <v>2699</v>
      </c>
      <c r="J39" s="226"/>
      <c r="K39" s="226"/>
      <c r="L39" s="226"/>
      <c r="M39" s="226"/>
      <c r="N39" s="226"/>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5" t="s">
        <v>4</v>
      </c>
      <c r="B43" s="176"/>
      <c r="C43" s="176"/>
      <c r="D43" s="176"/>
      <c r="E43" s="176"/>
      <c r="F43" s="176"/>
      <c r="G43" s="176"/>
      <c r="H43" s="176"/>
      <c r="I43" s="176"/>
      <c r="J43" s="176"/>
      <c r="K43" s="176"/>
      <c r="L43" s="176"/>
      <c r="M43" s="176"/>
      <c r="N43" s="176"/>
      <c r="O43" s="177"/>
      <c r="P43" s="76"/>
    </row>
    <row r="44" spans="1:16" ht="15" customHeight="1" x14ac:dyDescent="0.25">
      <c r="A44" s="178" t="s">
        <v>2655</v>
      </c>
      <c r="B44" s="179"/>
      <c r="C44" s="179"/>
      <c r="D44" s="179"/>
      <c r="E44" s="179"/>
      <c r="F44" s="179"/>
      <c r="G44" s="179"/>
      <c r="H44" s="179"/>
      <c r="I44" s="179"/>
      <c r="J44" s="179"/>
      <c r="K44" s="179"/>
      <c r="L44" s="179"/>
      <c r="M44" s="179"/>
      <c r="N44" s="179"/>
      <c r="O44" s="180"/>
    </row>
    <row r="45" spans="1:16" x14ac:dyDescent="0.25">
      <c r="A45" s="181"/>
      <c r="B45" s="182"/>
      <c r="C45" s="182"/>
      <c r="D45" s="182"/>
      <c r="E45" s="182"/>
      <c r="F45" s="182"/>
      <c r="G45" s="182"/>
      <c r="H45" s="182"/>
      <c r="I45" s="182"/>
      <c r="J45" s="182"/>
      <c r="K45" s="182"/>
      <c r="L45" s="182"/>
      <c r="M45" s="182"/>
      <c r="N45" s="182"/>
      <c r="O45" s="18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09" t="s">
        <v>31</v>
      </c>
      <c r="D48" s="114" t="s">
        <v>2679</v>
      </c>
      <c r="E48" s="244">
        <v>43909</v>
      </c>
      <c r="F48" s="244">
        <v>44165</v>
      </c>
      <c r="G48" s="153">
        <f>IF(AND(E48&lt;&gt;"",F48&lt;&gt;""),((F48-E48)/30),"")</f>
        <v>8.5333333333333332</v>
      </c>
      <c r="H48" s="115" t="s">
        <v>2692</v>
      </c>
      <c r="I48" s="110" t="s">
        <v>220</v>
      </c>
      <c r="J48" s="110" t="s">
        <v>488</v>
      </c>
      <c r="K48" s="116">
        <v>4159012317</v>
      </c>
      <c r="L48" s="111" t="s">
        <v>1148</v>
      </c>
      <c r="M48" s="112">
        <v>1</v>
      </c>
      <c r="N48" s="111" t="s">
        <v>2634</v>
      </c>
      <c r="O48" s="111" t="s">
        <v>1148</v>
      </c>
      <c r="P48" s="78"/>
    </row>
    <row r="49" spans="1:16" s="6" customFormat="1" ht="24.75" customHeight="1" x14ac:dyDescent="0.25">
      <c r="A49" s="136">
        <v>2</v>
      </c>
      <c r="B49" s="115" t="s">
        <v>2676</v>
      </c>
      <c r="C49" s="109" t="s">
        <v>31</v>
      </c>
      <c r="D49" s="114" t="s">
        <v>2679</v>
      </c>
      <c r="E49" s="244">
        <v>43909</v>
      </c>
      <c r="F49" s="244">
        <v>44165</v>
      </c>
      <c r="G49" s="153">
        <f t="shared" ref="G49:G50" si="2">IF(AND(E49&lt;&gt;"",F49&lt;&gt;""),((F49-E49)/30),"")</f>
        <v>8.5333333333333332</v>
      </c>
      <c r="H49" s="115" t="s">
        <v>2692</v>
      </c>
      <c r="I49" s="110" t="s">
        <v>220</v>
      </c>
      <c r="J49" s="110" t="s">
        <v>496</v>
      </c>
      <c r="K49" s="116">
        <v>4159012317</v>
      </c>
      <c r="L49" s="111" t="s">
        <v>1148</v>
      </c>
      <c r="M49" s="112">
        <v>1</v>
      </c>
      <c r="N49" s="111" t="s">
        <v>2634</v>
      </c>
      <c r="O49" s="111" t="s">
        <v>1148</v>
      </c>
      <c r="P49" s="78"/>
    </row>
    <row r="50" spans="1:16" s="6" customFormat="1" ht="24.75" customHeight="1" x14ac:dyDescent="0.25">
      <c r="A50" s="136">
        <v>3</v>
      </c>
      <c r="B50" s="115" t="s">
        <v>2676</v>
      </c>
      <c r="C50" s="109" t="s">
        <v>31</v>
      </c>
      <c r="D50" s="114" t="s">
        <v>2679</v>
      </c>
      <c r="E50" s="244">
        <v>43909</v>
      </c>
      <c r="F50" s="244">
        <v>44165</v>
      </c>
      <c r="G50" s="153">
        <f t="shared" si="2"/>
        <v>8.5333333333333332</v>
      </c>
      <c r="H50" s="115" t="s">
        <v>2692</v>
      </c>
      <c r="I50" s="110" t="s">
        <v>220</v>
      </c>
      <c r="J50" s="110" t="s">
        <v>500</v>
      </c>
      <c r="K50" s="116">
        <v>4159012317</v>
      </c>
      <c r="L50" s="111" t="s">
        <v>1148</v>
      </c>
      <c r="M50" s="112">
        <v>1</v>
      </c>
      <c r="N50" s="111" t="s">
        <v>2634</v>
      </c>
      <c r="O50" s="111" t="s">
        <v>1148</v>
      </c>
      <c r="P50" s="78"/>
    </row>
    <row r="51" spans="1:16" s="6" customFormat="1" ht="24.75" customHeight="1" outlineLevel="1" x14ac:dyDescent="0.25">
      <c r="A51" s="136">
        <v>4</v>
      </c>
      <c r="B51" s="115" t="s">
        <v>2676</v>
      </c>
      <c r="C51" s="109" t="s">
        <v>31</v>
      </c>
      <c r="D51" s="114" t="s">
        <v>2679</v>
      </c>
      <c r="E51" s="244">
        <v>43909</v>
      </c>
      <c r="F51" s="244">
        <v>44165</v>
      </c>
      <c r="G51" s="153">
        <f t="shared" ref="G51:G107" si="3">IF(AND(E51&lt;&gt;"",F51&lt;&gt;""),((F51-E51)/30),"")</f>
        <v>8.5333333333333332</v>
      </c>
      <c r="H51" s="115" t="s">
        <v>2692</v>
      </c>
      <c r="I51" s="110" t="s">
        <v>220</v>
      </c>
      <c r="J51" s="110" t="s">
        <v>511</v>
      </c>
      <c r="K51" s="116">
        <v>4159012317</v>
      </c>
      <c r="L51" s="111" t="s">
        <v>1148</v>
      </c>
      <c r="M51" s="112">
        <v>1</v>
      </c>
      <c r="N51" s="111" t="s">
        <v>2634</v>
      </c>
      <c r="O51" s="111" t="s">
        <v>1148</v>
      </c>
      <c r="P51" s="78"/>
    </row>
    <row r="52" spans="1:16" s="7" customFormat="1" ht="24.75" customHeight="1" outlineLevel="1" x14ac:dyDescent="0.25">
      <c r="A52" s="137">
        <v>5</v>
      </c>
      <c r="B52" s="115" t="s">
        <v>2676</v>
      </c>
      <c r="C52" s="109" t="s">
        <v>31</v>
      </c>
      <c r="D52" s="114" t="s">
        <v>2679</v>
      </c>
      <c r="E52" s="244">
        <v>43909</v>
      </c>
      <c r="F52" s="244">
        <v>44165</v>
      </c>
      <c r="G52" s="153">
        <f t="shared" si="3"/>
        <v>8.5333333333333332</v>
      </c>
      <c r="H52" s="115" t="s">
        <v>2692</v>
      </c>
      <c r="I52" s="110" t="s">
        <v>220</v>
      </c>
      <c r="J52" s="110" t="s">
        <v>505</v>
      </c>
      <c r="K52" s="116">
        <v>4159012317</v>
      </c>
      <c r="L52" s="111" t="s">
        <v>1148</v>
      </c>
      <c r="M52" s="112">
        <v>1</v>
      </c>
      <c r="N52" s="111" t="s">
        <v>2634</v>
      </c>
      <c r="O52" s="111" t="s">
        <v>1148</v>
      </c>
      <c r="P52" s="79"/>
    </row>
    <row r="53" spans="1:16" s="7" customFormat="1" ht="24.75" customHeight="1" outlineLevel="1" x14ac:dyDescent="0.25">
      <c r="A53" s="137">
        <v>6</v>
      </c>
      <c r="B53" s="115" t="s">
        <v>2677</v>
      </c>
      <c r="C53" s="109" t="s">
        <v>32</v>
      </c>
      <c r="D53" s="114" t="s">
        <v>2680</v>
      </c>
      <c r="E53" s="114" t="s">
        <v>2681</v>
      </c>
      <c r="F53" s="114" t="s">
        <v>2682</v>
      </c>
      <c r="G53" s="153">
        <f t="shared" si="3"/>
        <v>10</v>
      </c>
      <c r="H53" s="115" t="s">
        <v>2693</v>
      </c>
      <c r="I53" s="110" t="s">
        <v>711</v>
      </c>
      <c r="J53" s="110" t="s">
        <v>713</v>
      </c>
      <c r="K53" s="113">
        <v>200523758</v>
      </c>
      <c r="L53" s="111" t="s">
        <v>1148</v>
      </c>
      <c r="M53" s="112">
        <v>1</v>
      </c>
      <c r="N53" s="111" t="s">
        <v>27</v>
      </c>
      <c r="O53" s="111" t="s">
        <v>26</v>
      </c>
      <c r="P53" s="79"/>
    </row>
    <row r="54" spans="1:16" s="7" customFormat="1" ht="24.75" customHeight="1" outlineLevel="1" x14ac:dyDescent="0.25">
      <c r="A54" s="137">
        <v>7</v>
      </c>
      <c r="B54" s="115" t="s">
        <v>2677</v>
      </c>
      <c r="C54" s="109" t="s">
        <v>32</v>
      </c>
      <c r="D54" s="114" t="s">
        <v>2683</v>
      </c>
      <c r="E54" s="114" t="s">
        <v>2684</v>
      </c>
      <c r="F54" s="114" t="s">
        <v>2685</v>
      </c>
      <c r="G54" s="153">
        <f t="shared" si="3"/>
        <v>6.9333333333333336</v>
      </c>
      <c r="H54" s="115" t="s">
        <v>2693</v>
      </c>
      <c r="I54" s="110" t="s">
        <v>711</v>
      </c>
      <c r="J54" s="110" t="s">
        <v>713</v>
      </c>
      <c r="K54" s="113">
        <v>150325000</v>
      </c>
      <c r="L54" s="111" t="s">
        <v>1148</v>
      </c>
      <c r="M54" s="112">
        <v>1</v>
      </c>
      <c r="N54" s="111" t="s">
        <v>27</v>
      </c>
      <c r="O54" s="111" t="s">
        <v>26</v>
      </c>
      <c r="P54" s="79"/>
    </row>
    <row r="55" spans="1:16" s="7" customFormat="1" ht="24.75" customHeight="1" outlineLevel="1" x14ac:dyDescent="0.25">
      <c r="A55" s="137">
        <v>8</v>
      </c>
      <c r="B55" s="115" t="s">
        <v>2678</v>
      </c>
      <c r="C55" s="109" t="s">
        <v>32</v>
      </c>
      <c r="D55" s="114" t="s">
        <v>2686</v>
      </c>
      <c r="E55" s="114" t="s">
        <v>2687</v>
      </c>
      <c r="F55" s="114" t="s">
        <v>2688</v>
      </c>
      <c r="G55" s="153">
        <f t="shared" si="3"/>
        <v>9.8666666666666671</v>
      </c>
      <c r="H55" s="115" t="s">
        <v>2694</v>
      </c>
      <c r="I55" s="110" t="s">
        <v>711</v>
      </c>
      <c r="J55" s="110" t="s">
        <v>713</v>
      </c>
      <c r="K55" s="116">
        <v>180000000</v>
      </c>
      <c r="L55" s="111" t="s">
        <v>1148</v>
      </c>
      <c r="M55" s="112">
        <v>1</v>
      </c>
      <c r="N55" s="111" t="s">
        <v>27</v>
      </c>
      <c r="O55" s="111" t="s">
        <v>26</v>
      </c>
      <c r="P55" s="79"/>
    </row>
    <row r="56" spans="1:16" s="7" customFormat="1" ht="24.75" customHeight="1" outlineLevel="1" x14ac:dyDescent="0.25">
      <c r="A56" s="137">
        <v>9</v>
      </c>
      <c r="B56" s="115" t="s">
        <v>2678</v>
      </c>
      <c r="C56" s="109" t="s">
        <v>32</v>
      </c>
      <c r="D56" s="114" t="s">
        <v>2689</v>
      </c>
      <c r="E56" s="114" t="s">
        <v>2690</v>
      </c>
      <c r="F56" s="114" t="s">
        <v>2691</v>
      </c>
      <c r="G56" s="153">
        <f t="shared" si="3"/>
        <v>9.9333333333333336</v>
      </c>
      <c r="H56" s="115" t="s">
        <v>2694</v>
      </c>
      <c r="I56" s="110" t="s">
        <v>711</v>
      </c>
      <c r="J56" s="110" t="s">
        <v>713</v>
      </c>
      <c r="K56" s="116">
        <v>210000000</v>
      </c>
      <c r="L56" s="111" t="s">
        <v>1148</v>
      </c>
      <c r="M56" s="112">
        <v>1</v>
      </c>
      <c r="N56" s="111" t="s">
        <v>27</v>
      </c>
      <c r="O56" s="111" t="s">
        <v>26</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5" t="s">
        <v>2633</v>
      </c>
      <c r="B109" s="176"/>
      <c r="C109" s="176"/>
      <c r="D109" s="176"/>
      <c r="E109" s="176"/>
      <c r="F109" s="176"/>
      <c r="G109" s="176"/>
      <c r="H109" s="176"/>
      <c r="I109" s="176"/>
      <c r="J109" s="176"/>
      <c r="K109" s="176"/>
      <c r="L109" s="176"/>
      <c r="M109" s="176"/>
      <c r="N109" s="176"/>
      <c r="O109" s="177"/>
      <c r="P109" s="76"/>
    </row>
    <row r="110" spans="1:16" ht="15" customHeight="1" x14ac:dyDescent="0.25">
      <c r="A110" s="178" t="s">
        <v>2656</v>
      </c>
      <c r="B110" s="179"/>
      <c r="C110" s="179"/>
      <c r="D110" s="179"/>
      <c r="E110" s="179"/>
      <c r="F110" s="179"/>
      <c r="G110" s="179"/>
      <c r="H110" s="179"/>
      <c r="I110" s="179"/>
      <c r="J110" s="179"/>
      <c r="K110" s="179"/>
      <c r="L110" s="179"/>
      <c r="M110" s="179"/>
      <c r="N110" s="179"/>
      <c r="O110" s="180"/>
    </row>
    <row r="111" spans="1:16" ht="15.75" thickBot="1" x14ac:dyDescent="0.3">
      <c r="A111" s="181"/>
      <c r="B111" s="182"/>
      <c r="C111" s="182"/>
      <c r="D111" s="182"/>
      <c r="E111" s="182"/>
      <c r="F111" s="182"/>
      <c r="G111" s="182"/>
      <c r="H111" s="182"/>
      <c r="I111" s="182"/>
      <c r="J111" s="182"/>
      <c r="K111" s="182"/>
      <c r="L111" s="182"/>
      <c r="M111" s="182"/>
      <c r="N111" s="182"/>
      <c r="O111" s="183"/>
    </row>
    <row r="112" spans="1:16" s="1" customFormat="1" ht="26.25" customHeight="1" thickBot="1" x14ac:dyDescent="0.3">
      <c r="I112" s="188" t="s">
        <v>9</v>
      </c>
      <c r="J112" s="189"/>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2679</v>
      </c>
      <c r="E114" s="244">
        <v>43909</v>
      </c>
      <c r="F114" s="244">
        <v>44165</v>
      </c>
      <c r="G114" s="153">
        <f>IF(AND(E114&lt;&gt;"",F114&lt;&gt;""),((F114-E114)/30),"")</f>
        <v>8.5333333333333332</v>
      </c>
      <c r="H114" s="115" t="s">
        <v>2692</v>
      </c>
      <c r="I114" s="114" t="s">
        <v>220</v>
      </c>
      <c r="J114" s="114" t="s">
        <v>488</v>
      </c>
      <c r="K114" s="116">
        <v>4159012317</v>
      </c>
      <c r="L114" s="100">
        <f>+IF(AND(K114&gt;0,O114="Ejecución"),(K114/877802)*Tabla28[[#This Row],[% participación]],IF(AND(K114&gt;0,O114&lt;&gt;"Ejecución"),"-",""))</f>
        <v>4737.9845534642209</v>
      </c>
      <c r="M114" s="117" t="s">
        <v>1148</v>
      </c>
      <c r="N114" s="166">
        <f>+IF(M118="No",1,IF(M118="Si","Ingrese %",""))</f>
        <v>1</v>
      </c>
      <c r="O114" s="155" t="s">
        <v>1150</v>
      </c>
      <c r="P114" s="78"/>
    </row>
    <row r="115" spans="1:16" s="6" customFormat="1" ht="24.75" customHeight="1" x14ac:dyDescent="0.25">
      <c r="A115" s="136">
        <v>2</v>
      </c>
      <c r="B115" s="154" t="s">
        <v>2665</v>
      </c>
      <c r="C115" s="156" t="s">
        <v>31</v>
      </c>
      <c r="D115" s="114" t="s">
        <v>2679</v>
      </c>
      <c r="E115" s="244">
        <v>43909</v>
      </c>
      <c r="F115" s="244">
        <v>44165</v>
      </c>
      <c r="G115" s="153">
        <f t="shared" ref="G115:G116" si="4">IF(AND(E115&lt;&gt;"",F115&lt;&gt;""),((F115-E115)/30),"")</f>
        <v>8.5333333333333332</v>
      </c>
      <c r="H115" s="115" t="s">
        <v>2692</v>
      </c>
      <c r="I115" s="63" t="s">
        <v>220</v>
      </c>
      <c r="J115" s="63" t="s">
        <v>496</v>
      </c>
      <c r="K115" s="116">
        <v>4159012317</v>
      </c>
      <c r="L115" s="100">
        <f>+IF(AND(K115&gt;0,O115="Ejecución"),(K115/877802)*Tabla28[[#This Row],[% participación]],IF(AND(K115&gt;0,O115&lt;&gt;"Ejecución"),"-",""))</f>
        <v>4737.9845534642209</v>
      </c>
      <c r="M115" s="65" t="s">
        <v>1148</v>
      </c>
      <c r="N115" s="166">
        <f>+IF(M118="No",1,IF(M118="Si","Ingrese %",""))</f>
        <v>1</v>
      </c>
      <c r="O115" s="155" t="s">
        <v>1150</v>
      </c>
      <c r="P115" s="78"/>
    </row>
    <row r="116" spans="1:16" s="6" customFormat="1" ht="24.75" customHeight="1" x14ac:dyDescent="0.25">
      <c r="A116" s="136">
        <v>3</v>
      </c>
      <c r="B116" s="154" t="s">
        <v>2665</v>
      </c>
      <c r="C116" s="156" t="s">
        <v>31</v>
      </c>
      <c r="D116" s="114" t="s">
        <v>2679</v>
      </c>
      <c r="E116" s="244">
        <v>43909</v>
      </c>
      <c r="F116" s="244">
        <v>44165</v>
      </c>
      <c r="G116" s="153">
        <f t="shared" si="4"/>
        <v>8.5333333333333332</v>
      </c>
      <c r="H116" s="115" t="s">
        <v>2692</v>
      </c>
      <c r="I116" s="63" t="s">
        <v>220</v>
      </c>
      <c r="J116" s="63" t="s">
        <v>500</v>
      </c>
      <c r="K116" s="116">
        <v>4159012317</v>
      </c>
      <c r="L116" s="100">
        <f>+IF(AND(K116&gt;0,O116="Ejecución"),(K116/877802)*Tabla28[[#This Row],[% participación]],IF(AND(K116&gt;0,O116&lt;&gt;"Ejecución"),"-",""))</f>
        <v>4737.9845534642209</v>
      </c>
      <c r="M116" s="65" t="s">
        <v>1148</v>
      </c>
      <c r="N116" s="166">
        <f>+IF(M118="No",1,IF(M118="Si","Ingrese %",""))</f>
        <v>1</v>
      </c>
      <c r="O116" s="155" t="s">
        <v>1150</v>
      </c>
      <c r="P116" s="78"/>
    </row>
    <row r="117" spans="1:16" s="6" customFormat="1" ht="24.75" customHeight="1" outlineLevel="1" x14ac:dyDescent="0.25">
      <c r="A117" s="136">
        <v>4</v>
      </c>
      <c r="B117" s="154" t="s">
        <v>2665</v>
      </c>
      <c r="C117" s="156" t="s">
        <v>31</v>
      </c>
      <c r="D117" s="114" t="s">
        <v>2679</v>
      </c>
      <c r="E117" s="244">
        <v>43909</v>
      </c>
      <c r="F117" s="244">
        <v>44165</v>
      </c>
      <c r="G117" s="153">
        <f t="shared" ref="G117:G159" si="5">IF(AND(E117&lt;&gt;"",F117&lt;&gt;""),((F117-E117)/30),"")</f>
        <v>8.5333333333333332</v>
      </c>
      <c r="H117" s="115" t="s">
        <v>2692</v>
      </c>
      <c r="I117" s="63" t="s">
        <v>220</v>
      </c>
      <c r="J117" s="63" t="s">
        <v>505</v>
      </c>
      <c r="K117" s="116">
        <v>4159012317</v>
      </c>
      <c r="L117" s="100">
        <f>+IF(AND(K117&gt;0,O117="Ejecución"),(K117/877802)*Tabla28[[#This Row],[% participación]],IF(AND(K117&gt;0,O117&lt;&gt;"Ejecución"),"-",""))</f>
        <v>4737.9845534642209</v>
      </c>
      <c r="M117" s="65" t="s">
        <v>1148</v>
      </c>
      <c r="N117" s="166">
        <f>+IF(M118="No",1,IF(M118="Si","Ingrese %",""))</f>
        <v>1</v>
      </c>
      <c r="O117" s="155" t="s">
        <v>1150</v>
      </c>
      <c r="P117" s="78"/>
    </row>
    <row r="118" spans="1:16" s="7" customFormat="1" ht="24.75" customHeight="1" outlineLevel="1" x14ac:dyDescent="0.25">
      <c r="A118" s="137">
        <v>5</v>
      </c>
      <c r="B118" s="154" t="s">
        <v>2665</v>
      </c>
      <c r="C118" s="156" t="s">
        <v>31</v>
      </c>
      <c r="D118" s="114" t="s">
        <v>2679</v>
      </c>
      <c r="E118" s="244">
        <v>43909</v>
      </c>
      <c r="F118" s="244">
        <v>44165</v>
      </c>
      <c r="G118" s="153">
        <f t="shared" si="5"/>
        <v>8.5333333333333332</v>
      </c>
      <c r="H118" s="115" t="s">
        <v>2692</v>
      </c>
      <c r="I118" s="63" t="s">
        <v>220</v>
      </c>
      <c r="J118" s="63" t="s">
        <v>511</v>
      </c>
      <c r="K118" s="116">
        <v>4159012317</v>
      </c>
      <c r="L118" s="100">
        <f>+IF(AND(K118&gt;0,O118="Ejecución"),(K118/877802)*Tabla28[[#This Row],[% participación]],IF(AND(K118&gt;0,O118&lt;&gt;"Ejecución"),"-",""))</f>
        <v>4737.9845534642209</v>
      </c>
      <c r="M118" s="65" t="s">
        <v>1148</v>
      </c>
      <c r="N118" s="166">
        <f t="shared" ref="N118:N160" si="6">+IF(M118="No",1,IF(M118="Si","Ingrese %",""))</f>
        <v>1</v>
      </c>
      <c r="O118" s="155" t="s">
        <v>1150</v>
      </c>
      <c r="P118" s="79"/>
    </row>
    <row r="119" spans="1:16" s="7" customFormat="1" ht="24.75" customHeight="1" outlineLevel="1" x14ac:dyDescent="0.25">
      <c r="A119" s="137">
        <v>6</v>
      </c>
      <c r="B119" s="154" t="s">
        <v>2665</v>
      </c>
      <c r="C119" s="156" t="s">
        <v>31</v>
      </c>
      <c r="D119" s="63" t="s">
        <v>2696</v>
      </c>
      <c r="E119" s="138">
        <v>44179</v>
      </c>
      <c r="F119" s="138">
        <v>44773</v>
      </c>
      <c r="G119" s="153">
        <f t="shared" si="5"/>
        <v>19.8</v>
      </c>
      <c r="H119" s="64" t="s">
        <v>2695</v>
      </c>
      <c r="I119" s="63" t="s">
        <v>459</v>
      </c>
      <c r="J119" s="63" t="s">
        <v>466</v>
      </c>
      <c r="K119" s="68">
        <v>8292058434</v>
      </c>
      <c r="L119" s="100">
        <f>+IF(AND(K119&gt;0,O119="Ejecución"),(K119/877802)*Tabla28[[#This Row],[% participación]],IF(AND(K119&gt;0,O119&lt;&gt;"Ejecución"),"-",""))</f>
        <v>9446.3881763769059</v>
      </c>
      <c r="M119" s="65" t="s">
        <v>1148</v>
      </c>
      <c r="N119" s="166">
        <f t="shared" si="6"/>
        <v>1</v>
      </c>
      <c r="O119" s="155" t="s">
        <v>1150</v>
      </c>
      <c r="P119" s="79"/>
    </row>
    <row r="120" spans="1:16" s="7" customFormat="1" ht="24.75" customHeight="1" outlineLevel="1" x14ac:dyDescent="0.25">
      <c r="A120" s="137">
        <v>7</v>
      </c>
      <c r="B120" s="154" t="s">
        <v>2665</v>
      </c>
      <c r="C120" s="156" t="s">
        <v>31</v>
      </c>
      <c r="D120" s="114" t="s">
        <v>2696</v>
      </c>
      <c r="E120" s="138">
        <v>44179</v>
      </c>
      <c r="F120" s="138">
        <v>44773</v>
      </c>
      <c r="G120" s="153">
        <f t="shared" si="5"/>
        <v>19.8</v>
      </c>
      <c r="H120" s="115" t="s">
        <v>2695</v>
      </c>
      <c r="I120" s="114" t="s">
        <v>459</v>
      </c>
      <c r="J120" s="63" t="s">
        <v>481</v>
      </c>
      <c r="K120" s="68">
        <v>8292058434</v>
      </c>
      <c r="L120" s="100">
        <f>+IF(AND(K120&gt;0,O120="Ejecución"),(K120/877802)*Tabla28[[#This Row],[% participación]],IF(AND(K120&gt;0,O120&lt;&gt;"Ejecución"),"-",""))</f>
        <v>9446.3881763769059</v>
      </c>
      <c r="M120" s="65" t="s">
        <v>1148</v>
      </c>
      <c r="N120" s="166">
        <f t="shared" si="6"/>
        <v>1</v>
      </c>
      <c r="O120" s="155" t="s">
        <v>1150</v>
      </c>
      <c r="P120" s="79"/>
    </row>
    <row r="121" spans="1:16" s="7" customFormat="1" ht="24.75" customHeight="1" outlineLevel="1" x14ac:dyDescent="0.25">
      <c r="A121" s="137">
        <v>8</v>
      </c>
      <c r="B121" s="154" t="s">
        <v>2665</v>
      </c>
      <c r="C121" s="156" t="s">
        <v>31</v>
      </c>
      <c r="D121" s="114" t="s">
        <v>2696</v>
      </c>
      <c r="E121" s="138">
        <v>44179</v>
      </c>
      <c r="F121" s="138">
        <v>44773</v>
      </c>
      <c r="G121" s="153">
        <f t="shared" si="5"/>
        <v>19.8</v>
      </c>
      <c r="H121" s="115" t="s">
        <v>2695</v>
      </c>
      <c r="I121" s="114" t="s">
        <v>459</v>
      </c>
      <c r="J121" s="63" t="s">
        <v>476</v>
      </c>
      <c r="K121" s="68">
        <v>8292058434</v>
      </c>
      <c r="L121" s="100">
        <f>+IF(AND(K121&gt;0,O121="Ejecución"),(K121/877802)*Tabla28[[#This Row],[% participación]],IF(AND(K121&gt;0,O121&lt;&gt;"Ejecución"),"-",""))</f>
        <v>9446.3881763769059</v>
      </c>
      <c r="M121" s="65" t="s">
        <v>1148</v>
      </c>
      <c r="N121" s="166">
        <f t="shared" si="6"/>
        <v>1</v>
      </c>
      <c r="O121" s="155" t="s">
        <v>1150</v>
      </c>
      <c r="P121" s="79"/>
    </row>
    <row r="122" spans="1:16" s="7" customFormat="1" ht="24.75" customHeight="1" outlineLevel="1" x14ac:dyDescent="0.25">
      <c r="A122" s="137">
        <v>9</v>
      </c>
      <c r="B122" s="154" t="s">
        <v>2665</v>
      </c>
      <c r="C122" s="156" t="s">
        <v>31</v>
      </c>
      <c r="D122" s="114" t="s">
        <v>2696</v>
      </c>
      <c r="E122" s="138">
        <v>44179</v>
      </c>
      <c r="F122" s="138">
        <v>44773</v>
      </c>
      <c r="G122" s="153">
        <f t="shared" si="5"/>
        <v>19.8</v>
      </c>
      <c r="H122" s="115" t="s">
        <v>2695</v>
      </c>
      <c r="I122" s="63" t="s">
        <v>459</v>
      </c>
      <c r="J122" s="63" t="s">
        <v>461</v>
      </c>
      <c r="K122" s="68">
        <v>8292058434</v>
      </c>
      <c r="L122" s="100">
        <f>+IF(AND(K122&gt;0,O122="Ejecución"),(K122/877802)*Tabla28[[#This Row],[% participación]],IF(AND(K122&gt;0,O122&lt;&gt;"Ejecución"),"-",""))</f>
        <v>9446.3881763769059</v>
      </c>
      <c r="M122" s="65" t="s">
        <v>1148</v>
      </c>
      <c r="N122" s="166">
        <f t="shared" si="6"/>
        <v>1</v>
      </c>
      <c r="O122" s="155" t="s">
        <v>1150</v>
      </c>
      <c r="P122" s="79"/>
    </row>
    <row r="123" spans="1:16" s="7" customFormat="1" ht="24.75" customHeight="1" outlineLevel="1" x14ac:dyDescent="0.25">
      <c r="A123" s="137">
        <v>10</v>
      </c>
      <c r="B123" s="154" t="s">
        <v>2665</v>
      </c>
      <c r="C123" s="156" t="s">
        <v>31</v>
      </c>
      <c r="D123" s="114" t="s">
        <v>2697</v>
      </c>
      <c r="E123" s="138">
        <v>44181</v>
      </c>
      <c r="F123" s="138">
        <v>44773</v>
      </c>
      <c r="G123" s="153">
        <f t="shared" si="5"/>
        <v>19.733333333333334</v>
      </c>
      <c r="H123" s="64" t="s">
        <v>2698</v>
      </c>
      <c r="I123" s="63" t="s">
        <v>711</v>
      </c>
      <c r="J123" s="63" t="s">
        <v>729</v>
      </c>
      <c r="K123" s="68">
        <v>4183838386</v>
      </c>
      <c r="L123" s="100">
        <f>+IF(AND(K123&gt;0,O123="Ejecución"),(K123/877802)*Tabla28[[#This Row],[% participación]],IF(AND(K123&gt;0,O123&lt;&gt;"Ejecución"),"-",""))</f>
        <v>4766.2666364396528</v>
      </c>
      <c r="M123" s="65" t="s">
        <v>1148</v>
      </c>
      <c r="N123" s="166">
        <f t="shared" si="6"/>
        <v>1</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07" t="s">
        <v>2643</v>
      </c>
      <c r="J167" s="208"/>
      <c r="K167" s="208"/>
      <c r="L167" s="208"/>
      <c r="M167" s="208"/>
      <c r="N167" s="208"/>
      <c r="O167" s="209"/>
      <c r="U167" s="51"/>
    </row>
    <row r="168" spans="1:28" x14ac:dyDescent="0.25">
      <c r="A168" s="9"/>
      <c r="B168" s="227" t="s">
        <v>2658</v>
      </c>
      <c r="C168" s="227"/>
      <c r="D168" s="227"/>
      <c r="E168" s="8"/>
      <c r="F168" s="5"/>
      <c r="H168" s="81" t="s">
        <v>2657</v>
      </c>
      <c r="I168" s="207"/>
      <c r="J168" s="208"/>
      <c r="K168" s="208"/>
      <c r="L168" s="208"/>
      <c r="M168" s="208"/>
      <c r="N168" s="208"/>
      <c r="O168" s="20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2668</v>
      </c>
      <c r="B172" s="197"/>
      <c r="C172" s="197"/>
      <c r="D172" s="197"/>
      <c r="E172" s="197"/>
      <c r="F172" s="197"/>
      <c r="G172" s="197"/>
      <c r="H172" s="197"/>
      <c r="I172" s="197"/>
      <c r="J172" s="197"/>
      <c r="K172" s="197"/>
      <c r="L172" s="197"/>
      <c r="M172" s="197"/>
      <c r="N172" s="197"/>
      <c r="O172" s="198"/>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2669</v>
      </c>
      <c r="C176" s="218"/>
      <c r="D176" s="218"/>
      <c r="E176" s="218"/>
      <c r="F176" s="218"/>
      <c r="G176" s="218"/>
      <c r="H176" s="20"/>
      <c r="I176" s="171" t="s">
        <v>2675</v>
      </c>
      <c r="J176" s="172"/>
      <c r="K176" s="172"/>
      <c r="L176" s="172"/>
      <c r="M176" s="172"/>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171" t="s">
        <v>2615</v>
      </c>
      <c r="F177" s="172"/>
      <c r="G177" s="225"/>
      <c r="H177" s="5"/>
      <c r="I177" s="219" t="s">
        <v>17</v>
      </c>
      <c r="J177" s="220"/>
      <c r="K177" s="220"/>
      <c r="L177" s="221"/>
      <c r="M177" s="173" t="s">
        <v>2672</v>
      </c>
      <c r="O177" s="8"/>
      <c r="Q177" s="19"/>
      <c r="R177" s="19"/>
      <c r="S177" s="19"/>
      <c r="T177" s="19"/>
      <c r="U177" s="19"/>
      <c r="V177" s="19"/>
      <c r="W177" s="19"/>
      <c r="X177" s="19"/>
      <c r="Y177" s="19"/>
      <c r="Z177" s="19"/>
      <c r="AA177" s="19"/>
      <c r="AB177" s="19"/>
    </row>
    <row r="178" spans="1:28" ht="23.25" x14ac:dyDescent="0.25">
      <c r="A178" s="9"/>
      <c r="B178" s="222"/>
      <c r="C178" s="223"/>
      <c r="D178" s="224"/>
      <c r="E178" s="160"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7"/>
      <c r="Z178" s="158" t="str">
        <f>IF(Y178&gt;0,SUM(E180+Y178),"")</f>
        <v/>
      </c>
      <c r="AA178" s="19"/>
      <c r="AB178" s="19"/>
    </row>
    <row r="179" spans="1:28" ht="23.25" x14ac:dyDescent="0.25">
      <c r="A179" s="9"/>
      <c r="B179" s="210" t="s">
        <v>2669</v>
      </c>
      <c r="C179" s="210"/>
      <c r="D179" s="210"/>
      <c r="E179" s="164">
        <v>0.02</v>
      </c>
      <c r="F179" s="163">
        <v>0.01</v>
      </c>
      <c r="G179" s="158">
        <f>IF(F179&gt;0,SUM(E179+F179),"")</f>
        <v>0.03</v>
      </c>
      <c r="H179" s="5"/>
      <c r="I179" s="210" t="s">
        <v>2671</v>
      </c>
      <c r="J179" s="210"/>
      <c r="K179" s="210"/>
      <c r="L179" s="210"/>
      <c r="M179" s="165">
        <v>0.02</v>
      </c>
      <c r="O179" s="8"/>
      <c r="Q179" s="19"/>
      <c r="R179" s="152">
        <f>IF(M179&gt;0,SUM(L179+M179),"")</f>
        <v>0.02</v>
      </c>
      <c r="T179" s="19"/>
      <c r="U179" s="230" t="s">
        <v>1166</v>
      </c>
      <c r="V179" s="230"/>
      <c r="W179" s="230"/>
      <c r="X179" s="24">
        <v>0.02</v>
      </c>
      <c r="Y179" s="157"/>
      <c r="Z179" s="158" t="str">
        <f>IF(Y179&gt;0,SUM(E181+Y179),"")</f>
        <v/>
      </c>
      <c r="AA179" s="19"/>
      <c r="AB179" s="19"/>
    </row>
    <row r="180" spans="1:28" ht="23.25" hidden="1" x14ac:dyDescent="0.25">
      <c r="A180" s="9"/>
      <c r="B180" s="170"/>
      <c r="C180" s="170"/>
      <c r="D180" s="170"/>
      <c r="E180" s="162"/>
      <c r="H180" s="5"/>
      <c r="I180" s="170"/>
      <c r="J180" s="170"/>
      <c r="K180" s="170"/>
      <c r="L180" s="170"/>
      <c r="M180" s="5"/>
      <c r="O180" s="8"/>
      <c r="Q180" s="19"/>
      <c r="R180" s="152" t="str">
        <f>IF(S180&gt;0,SUM(L180+S180),"")</f>
        <v/>
      </c>
      <c r="S180" s="157"/>
      <c r="T180" s="19"/>
      <c r="U180" s="230" t="s">
        <v>1167</v>
      </c>
      <c r="V180" s="230"/>
      <c r="W180" s="230"/>
      <c r="X180" s="24">
        <v>0.03</v>
      </c>
      <c r="Y180" s="157"/>
      <c r="Z180" s="158" t="str">
        <f>IF(Y180&gt;0,SUM(E182+Y180),"")</f>
        <v/>
      </c>
      <c r="AA180" s="19"/>
      <c r="AB180" s="19"/>
    </row>
    <row r="181" spans="1:28" ht="23.25" hidden="1" x14ac:dyDescent="0.25">
      <c r="A181" s="9"/>
      <c r="B181" s="170"/>
      <c r="C181" s="170"/>
      <c r="D181" s="170"/>
      <c r="E181" s="162"/>
      <c r="H181" s="5"/>
      <c r="I181" s="170"/>
      <c r="J181" s="170"/>
      <c r="K181" s="170"/>
      <c r="L181" s="170"/>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0"/>
      <c r="C182" s="170"/>
      <c r="D182" s="170"/>
      <c r="E182" s="162"/>
      <c r="H182" s="5"/>
      <c r="I182" s="170"/>
      <c r="J182" s="170"/>
      <c r="K182" s="170"/>
      <c r="L182" s="170"/>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0"/>
      <c r="J183" s="170"/>
      <c r="K183" s="170"/>
      <c r="L183" s="170"/>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162253797</v>
      </c>
      <c r="F185" s="92"/>
      <c r="G185" s="93"/>
      <c r="H185" s="88"/>
      <c r="I185" s="90" t="s">
        <v>2627</v>
      </c>
      <c r="J185" s="159">
        <f>+SUM(M179:M183)</f>
        <v>0.02</v>
      </c>
      <c r="K185" s="229" t="s">
        <v>2628</v>
      </c>
      <c r="L185" s="229"/>
      <c r="M185" s="94">
        <f>+J185*(SUM(K20:K35))</f>
        <v>108169198</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87" t="s">
        <v>2636</v>
      </c>
      <c r="C192" s="187"/>
      <c r="E192" s="5" t="s">
        <v>20</v>
      </c>
      <c r="H192" s="26" t="s">
        <v>24</v>
      </c>
      <c r="J192" s="5" t="s">
        <v>2637</v>
      </c>
      <c r="K192" s="5"/>
      <c r="M192" s="5"/>
      <c r="N192" s="5"/>
      <c r="O192" s="8"/>
      <c r="Q192" s="147"/>
      <c r="R192" s="148"/>
      <c r="S192" s="148"/>
      <c r="T192" s="147"/>
    </row>
    <row r="193" spans="1:18" x14ac:dyDescent="0.25">
      <c r="A193" s="9"/>
      <c r="C193" s="118">
        <v>42895</v>
      </c>
      <c r="D193" s="5"/>
      <c r="E193" s="119">
        <v>1130</v>
      </c>
      <c r="F193" s="5"/>
      <c r="G193" s="5"/>
      <c r="H193" s="140" t="s">
        <v>2700</v>
      </c>
      <c r="J193" s="5"/>
      <c r="K193" s="120">
        <v>43909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28" t="s">
        <v>2659</v>
      </c>
      <c r="C199" s="228"/>
      <c r="D199" s="228"/>
      <c r="E199" s="228"/>
      <c r="F199" s="228"/>
      <c r="G199" s="228"/>
      <c r="H199" s="228"/>
      <c r="I199" s="228"/>
      <c r="J199" s="228"/>
      <c r="K199" s="228"/>
      <c r="L199" s="228"/>
      <c r="M199" s="228"/>
      <c r="N199" s="228"/>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2701</v>
      </c>
      <c r="J211" s="27" t="s">
        <v>2622</v>
      </c>
      <c r="K211" s="141" t="s">
        <v>2703</v>
      </c>
      <c r="L211" s="21"/>
      <c r="M211" s="21"/>
      <c r="N211" s="21"/>
      <c r="O211" s="8"/>
    </row>
    <row r="212" spans="1:15" x14ac:dyDescent="0.25">
      <c r="A212" s="9"/>
      <c r="B212" s="27" t="s">
        <v>2619</v>
      </c>
      <c r="C212" s="140" t="s">
        <v>2700</v>
      </c>
      <c r="D212" s="21"/>
      <c r="G212" s="27" t="s">
        <v>2621</v>
      </c>
      <c r="H212" s="141" t="s">
        <v>2702</v>
      </c>
      <c r="J212" s="27" t="s">
        <v>2623</v>
      </c>
      <c r="K212" s="140"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a65d333d-5b59-4810-bc94-b80d9325abbc"/>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purl.org/dc/dcmitype/"/>
    <ds:schemaRef ds:uri="4fb10211-09fb-4e80-9f0b-184718d5d98c"/>
    <ds:schemaRef ds:uri="http://www.w3.org/XML/1998/namespace"/>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2020-12-28T06:30:00Z</cp:lastPrinted>
  <dcterms:created xsi:type="dcterms:W3CDTF">2020-10-14T21:57:42Z</dcterms:created>
  <dcterms:modified xsi:type="dcterms:W3CDTF">2020-12-28T06:31:33Z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