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hirly\Documents\CONTRATOS ICBF 2020\INVITACIONES A OFERTAR\INVITACIONES MODALIDAD 2020\BOLÍVAR\SIN FIRMA\"/>
    </mc:Choice>
  </mc:AlternateContent>
  <xr:revisionPtr revIDLastSave="0" documentId="8_{FEEB5CC0-593E-46A2-913F-62703526409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<sst xmlns="http://schemas.openxmlformats.org/spreadsheetml/2006/main" count="3160" uniqueCount="2706">
  <si>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</si>
  <si>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</si>
  <si>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</si>
  <si>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</si>
  <si>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</si>
  <si>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</si>
  <si>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</si>
  <si>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</si>
  <si>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</si>
  <si>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</si>
  <si>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</si>
  <si>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</si>
  <si>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</si>
  <si>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</si>
  <si>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</si>
  <si>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</si>
  <si>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</si>
  <si>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</si>
  <si>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</si>
  <si>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</si>
  <si>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</si>
  <si>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</si>
  <si>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</si>
  <si>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</si>
  <si>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</si>
  <si>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</si>
  <si>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</si>
  <si>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</si>
  <si>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</si>
  <si>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</si>
  <si>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</si>
  <si>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</si>
  <si>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</si>
  <si>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</si>
  <si>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</si>
  <si>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</si>
  <si>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</si>
  <si>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</si>
  <si>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</si>
  <si>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</si>
  <si>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</si>
  <si>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</si>
  <si>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</si>
  <si>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</si>
  <si>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</si>
  <si>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</si>
  <si>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</si>
  <si>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</si>
  <si>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</si>
  <si>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</si>
  <si>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</si>
  <si>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</si>
  <si>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</si>
  <si>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</si>
  <si>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</si>
  <si>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</si>
  <si>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</si>
  <si>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</si>
  <si>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</si>
  <si>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</si>
  <si>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</si>
  <si>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</si>
  <si>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</si>
  <si>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</si>
  <si>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</si>
  <si>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</si>
  <si>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</si>
  <si>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</si>
  <si>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</si>
  <si>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</si>
  <si>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</si>
  <si>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</si>
  <si>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</si>
  <si>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</si>
  <si>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</si>
  <si>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</si>
  <si>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</si>
  <si>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</si>
  <si>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</si>
  <si>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</si>
  <si>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</si>
  <si>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</si>
  <si>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</si>
  <si>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</si>
  <si>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</si>
  <si>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</si>
  <si>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</si>
  <si>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</si>
  <si>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</si>
  <si>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</si>
  <si>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</si>
  <si>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</si>
  <si>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</si>
  <si>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</si>
  <si>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</si>
  <si>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</si>
  <si>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</si>
  <si>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</si>
  <si>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</si>
  <si>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</si>
  <si>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</si>
  <si>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</si>
  <si>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</si>
  <si>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</si>
  <si>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</si>
  <si>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</si>
  <si>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</si>
  <si>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</si>
  <si>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</si>
  <si>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</si>
  <si>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</si>
  <si>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</si>
  <si>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</si>
  <si>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</si>
  <si>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</si>
  <si>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</si>
  <si>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</si>
  <si>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</si>
  <si>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</si>
  <si>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</si>
  <si>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</si>
  <si>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</si>
  <si>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</si>
  <si>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</si>
  <si>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</si>
  <si>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</si>
  <si>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</si>
  <si>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</si>
  <si>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</si>
  <si>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</si>
  <si>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</si>
  <si>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</si>
  <si>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</si>
  <si>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</si>
  <si>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</si>
  <si>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</si>
  <si>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</si>
  <si>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</si>
  <si>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</si>
  <si>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</si>
  <si>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</si>
  <si>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</si>
  <si>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</si>
  <si>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</si>
  <si>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</si>
  <si>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</si>
  <si>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</si>
  <si>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</si>
  <si>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</si>
  <si>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</si>
  <si>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</si>
  <si>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</si>
  <si>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</si>
  <si>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</si>
  <si>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</si>
  <si>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</si>
  <si>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</si>
  <si>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</si>
  <si>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</si>
  <si>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</si>
  <si>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</si>
  <si>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</si>
  <si>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</si>
  <si>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</si>
  <si>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</si>
  <si>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</si>
  <si>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</si>
  <si>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</si>
  <si>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</si>
  <si>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</si>
  <si>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</si>
  <si>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</si>
  <si>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</si>
  <si>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</si>
  <si>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</si>
  <si>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</si>
  <si>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</si>
  <si>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</si>
  <si>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</si>
  <si>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</si>
  <si>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</si>
  <si>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</si>
  <si>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</si>
  <si>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</si>
  <si>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</si>
  <si>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</si>
  <si>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</si>
  <si>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</si>
  <si>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</si>
  <si>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</si>
  <si>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</si>
  <si>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</si>
  <si>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</si>
  <si>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</si>
  <si>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</si>
  <si>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</si>
  <si>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</si>
  <si>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</si>
  <si>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</si>
  <si>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</si>
  <si>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</si>
  <si>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</si>
  <si>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</si>
  <si>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</si>
  <si>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</si>
  <si>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</si>
  <si>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</si>
  <si>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</si>
  <si>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</si>
  <si>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</si>
  <si>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</si>
  <si>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</si>
  <si>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</si>
  <si>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</si>
  <si>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</si>
  <si>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</si>
  <si>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</si>
  <si>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</si>
  <si>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</si>
  <si>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</si>
  <si>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</si>
  <si>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</si>
  <si>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</si>
  <si>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</si>
  <si>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</si>
  <si>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</si>
  <si>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</si>
  <si>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</si>
  <si>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</si>
  <si>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</si>
  <si>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</si>
  <si>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</si>
  <si>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</si>
  <si>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</si>
  <si>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</si>
  <si>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</si>
  <si>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</si>
  <si>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</si>
  <si>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</si>
  <si>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</si>
  <si>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</si>
  <si>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</si>
  <si>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</si>
  <si>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</si>
  <si>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</si>
  <si>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</si>
  <si>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</si>
  <si>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</si>
  <si>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</si>
  <si>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</si>
  <si>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</si>
  <si>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</si>
  <si>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</si>
  <si>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</si>
  <si>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</si>
  <si>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</si>
  <si>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</si>
  <si>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</si>
  <si>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</si>
  <si>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</si>
  <si>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</si>
  <si>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</si>
  <si>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</si>
  <si>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</si>
  <si>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</si>
  <si>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</si>
  <si>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</si>
  <si>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</si>
  <si>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</si>
  <si>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</si>
  <si>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</si>
  <si>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</si>
  <si>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</si>
  <si>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</si>
  <si>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</si>
  <si>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</si>
  <si>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</si>
  <si>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</si>
  <si>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</si>
  <si>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</si>
  <si>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</si>
  <si>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</si>
  <si>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</si>
  <si>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</si>
  <si>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</si>
  <si>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</si>
  <si>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</si>
  <si>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</si>
  <si>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</si>
  <si>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</si>
  <si>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</si>
  <si>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</si>
  <si>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</si>
  <si>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</si>
  <si>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</si>
  <si>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</si>
  <si>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</si>
  <si>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</si>
  <si>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</si>
  <si>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</si>
  <si>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</si>
  <si>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</si>
  <si>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</si>
  <si>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</si>
  <si>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</si>
  <si>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</si>
  <si>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</si>
  <si>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</si>
  <si>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</si>
  <si>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</si>
  <si>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</si>
  <si>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</si>
  <si>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</si>
  <si>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</si>
  <si>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</si>
  <si>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</si>
  <si>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</si>
  <si>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</si>
  <si>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</si>
  <si>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</si>
  <si>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</si>
  <si>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</si>
  <si>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</si>
  <si>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</si>
  <si>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</si>
  <si>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</si>
  <si>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</si>
  <si>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</si>
  <si>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</si>
  <si>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</si>
  <si>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</si>
  <si>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</si>
  <si>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</si>
  <si>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</si>
  <si>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</si>
  <si>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</si>
  <si>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</si>
  <si>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</si>
  <si>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</si>
  <si>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</si>
  <si>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</si>
  <si>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</si>
  <si>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</si>
  <si>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</si>
  <si>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</si>
  <si>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</si>
  <si>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</si>
  <si>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</si>
  <si>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</si>
  <si>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</si>
  <si>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</si>
  <si>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</si>
  <si>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</si>
  <si>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</si>
  <si>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</si>
  <si>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</si>
  <si>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</si>
  <si>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</si>
  <si>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</si>
  <si>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</si>
  <si>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</si>
  <si>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</si>
  <si>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</si>
  <si>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</si>
  <si>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</si>
  <si>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</si>
  <si>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</si>
  <si>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</si>
  <si>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</si>
  <si>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</si>
  <si>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</si>
  <si>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</si>
  <si>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</si>
  <si>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</si>
  <si>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</si>
  <si>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</si>
  <si>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</si>
  <si>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</si>
  <si>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</si>
  <si>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</si>
  <si>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</si>
  <si>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</si>
  <si>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</si>
  <si>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</si>
  <si>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</si>
  <si>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</si>
  <si>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</si>
  <si>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</si>
  <si>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</si>
  <si>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</si>
  <si>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</si>
  <si>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</si>
  <si>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</si>
  <si>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</si>
  <si>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</si>
  <si>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</si>
  <si>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</si>
  <si>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</si>
  <si>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</si>
  <si>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</si>
  <si>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</si>
  <si>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</si>
  <si>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</si>
  <si>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</si>
  <si>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</si>
  <si>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</si>
  <si>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</si>
  <si>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</si>
  <si>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</si>
  <si>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</si>
  <si>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</si>
  <si>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</si>
  <si>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</si>
  <si>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</si>
  <si>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</si>
  <si>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</si>
  <si>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</si>
  <si>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</si>
  <si>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</si>
  <si>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</si>
  <si>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</si>
  <si>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</si>
  <si>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</si>
  <si>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</si>
  <si>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</si>
  <si>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</si>
  <si>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</si>
  <si>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</si>
  <si>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</si>
  <si>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</si>
  <si>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</si>
  <si>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</si>
  <si>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</si>
  <si>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</si>
  <si>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</si>
  <si>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</si>
  <si>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</si>
  <si>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</si>
  <si>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</si>
  <si>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</si>
  <si>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</si>
  <si>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</si>
  <si>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</si>
  <si>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</si>
  <si>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</si>
  <si>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</si>
  <si>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</si>
  <si>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</si>
  <si>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</si>
  <si>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</si>
  <si>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</si>
  <si>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</si>
  <si>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</si>
  <si>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</si>
  <si>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</si>
  <si>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</si>
  <si>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</si>
  <si>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</si>
  <si>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</si>
  <si>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</si>
  <si>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</si>
  <si>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</si>
  <si>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</si>
  <si>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</si>
  <si>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</si>
  <si>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</si>
  <si>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</si>
  <si>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</si>
  <si>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</si>
  <si>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</si>
  <si>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</si>
  <si>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</si>
  <si>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</si>
  <si>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</si>
  <si>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</si>
  <si>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</si>
  <si>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</si>
  <si>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</si>
  <si>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</si>
  <si>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</si>
  <si>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</si>
  <si>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</si>
  <si>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</si>
  <si>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</si>
  <si>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</si>
  <si>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</si>
  <si>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</si>
  <si>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</si>
  <si>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</si>
  <si>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</si>
  <si>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</si>
  <si>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</si>
  <si>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</si>
  <si>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</si>
  <si>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</si>
  <si>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</si>
  <si>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</si>
  <si>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</si>
  <si>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</si>
  <si>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</si>
  <si>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</si>
  <si>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</si>
  <si>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</si>
  <si>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</si>
  <si>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</si>
  <si>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</si>
  <si>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</si>
  <si>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</si>
  <si>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</si>
  <si>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</si>
  <si>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</si>
  <si>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</si>
  <si>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</si>
  <si>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</si>
  <si>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</si>
  <si>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</si>
  <si>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</si>
  <si>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</si>
  <si>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</si>
  <si>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</si>
  <si>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</si>
  <si>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</si>
  <si>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</si>
  <si>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</si>
  <si>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</si>
  <si>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</si>
  <si>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</si>
  <si>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</si>
  <si>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</si>
  <si>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</si>
  <si>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</si>
  <si>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</si>
  <si>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</si>
  <si>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</si>
  <si>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</si>
  <si>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</si>
  <si>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</si>
  <si>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</si>
  <si>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</si>
  <si>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</si>
  <si>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</si>
  <si>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</si>
  <si>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</si>
  <si>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</si>
  <si>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</si>
  <si>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</si>
  <si>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</si>
  <si>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</si>
  <si>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</si>
  <si>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</si>
  <si>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</si>
  <si>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</si>
  <si>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</si>
  <si>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</si>
  <si>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</si>
  <si>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</si>
  <si>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</si>
  <si>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</si>
  <si>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</si>
  <si>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</si>
  <si>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</si>
  <si>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</si>
  <si>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</si>
  <si>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</si>
  <si>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</si>
  <si>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</si>
  <si>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</si>
  <si>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</si>
  <si>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</si>
  <si>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</si>
  <si>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</si>
  <si>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</si>
  <si>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</si>
  <si>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</si>
  <si>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</si>
  <si>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</si>
  <si>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</si>
  <si>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</si>
  <si>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</si>
  <si>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</si>
  <si>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</si>
  <si>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</si>
  <si>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</si>
  <si>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</si>
  <si>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</si>
  <si>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</si>
  <si>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</si>
  <si>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</si>
  <si>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</si>
  <si>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</si>
  <si>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</si>
  <si>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</si>
  <si>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</si>
  <si>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</si>
  <si>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</si>
  <si>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</si>
  <si>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</si>
  <si>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</si>
  <si>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</si>
  <si>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</si>
  <si>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</si>
  <si>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</si>
  <si>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</si>
  <si>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</si>
  <si>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</si>
  <si>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</si>
  <si>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</si>
  <si>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</si>
  <si>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</si>
  <si>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</si>
  <si>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</si>
  <si>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</si>
  <si>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</si>
  <si>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</si>
  <si>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</si>
  <si>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</si>
  <si>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</si>
  <si>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</si>
  <si>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</si>
  <si>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</si>
  <si>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</si>
  <si>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</si>
  <si>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</si>
  <si>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</si>
  <si>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</si>
  <si>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</si>
  <si>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</si>
  <si>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</si>
  <si>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</si>
  <si>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</si>
  <si>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</si>
  <si>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</si>
  <si>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</si>
  <si>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</si>
  <si>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</si>
  <si>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</si>
  <si>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</si>
  <si>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</si>
  <si>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</si>
  <si>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</si>
  <si>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</si>
  <si>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</si>
  <si>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</si>
  <si>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</si>
  <si>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</si>
  <si>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</si>
  <si>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</si>
  <si>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</si>
  <si>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</si>
  <si>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</si>
  <si>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</si>
  <si>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</si>
  <si>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</si>
  <si>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</si>
  <si>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</si>
  <si>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</si>
  <si>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</si>
  <si>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</si>
  <si>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</si>
  <si>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</si>
  <si>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</si>
  <si>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</si>
  <si>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</si>
  <si>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</si>
  <si>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</si>
  <si>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</si>
  <si>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</si>
  <si>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</si>
  <si>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</si>
  <si>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</si>
  <si>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</si>
  <si>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</si>
  <si>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</si>
  <si>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</si>
  <si>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</si>
  <si>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</si>
  <si>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</si>
  <si>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</si>
  <si>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</si>
  <si>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</si>
  <si>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</si>
  <si>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</si>
  <si>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</si>
  <si>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</si>
  <si>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</si>
  <si>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</si>
  <si>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</si>
  <si>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</si>
  <si>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</si>
  <si>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</si>
  <si>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</si>
  <si>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</si>
  <si>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</si>
  <si>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</si>
  <si>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</si>
  <si>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</si>
  <si>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</si>
  <si>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</si>
  <si>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</si>
  <si>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</si>
  <si>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</si>
  <si>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</si>
  <si>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</si>
  <si>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</si>
  <si>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</si>
  <si>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</si>
  <si>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</si>
  <si>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</si>
  <si>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</si>
  <si>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</si>
  <si>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</si>
  <si>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</si>
  <si>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</si>
  <si>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</si>
  <si>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</si>
  <si>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</si>
  <si>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</si>
  <si>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</si>
  <si>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</si>
  <si>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</si>
  <si>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</si>
  <si>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</si>
  <si>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</si>
  <si>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</si>
  <si>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</si>
  <si>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</si>
  <si>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</si>
  <si>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</si>
  <si>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</si>
  <si>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</si>
  <si>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</si>
  <si>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</si>
  <si>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</si>
  <si>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</si>
  <si>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</si>
  <si>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</si>
  <si>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</si>
  <si>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</si>
  <si>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</si>
  <si>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</si>
  <si>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</si>
  <si>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</si>
  <si>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</si>
  <si>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</si>
  <si>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</si>
  <si>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</si>
  <si>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</si>
  <si>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</si>
  <si>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</si>
  <si>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</si>
  <si>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</si>
  <si>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</si>
  <si>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</si>
  <si>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</si>
  <si>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</si>
  <si>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</si>
  <si>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</si>
  <si>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</si>
  <si>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</si>
  <si>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</si>
  <si>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</si>
  <si>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</si>
  <si>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</si>
  <si>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</si>
  <si>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</si>
  <si>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</si>
  <si>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</si>
  <si>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</si>
  <si>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</si>
  <si>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</si>
  <si>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</si>
  <si>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</si>
  <si>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</si>
  <si>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</si>
  <si>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</si>
  <si>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</si>
  <si>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</si>
  <si>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</si>
  <si>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</si>
  <si>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</si>
  <si>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</si>
  <si>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</si>
  <si>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</si>
  <si>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</si>
  <si>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</si>
  <si>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</si>
  <si>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</si>
  <si>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</si>
  <si>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</si>
  <si>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</si>
  <si>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</si>
  <si>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</si>
  <si>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</si>
  <si>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</si>
  <si>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</si>
  <si>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</si>
  <si>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</si>
  <si>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</si>
  <si>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</si>
  <si>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</si>
  <si>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</si>
  <si>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</si>
  <si>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</si>
  <si>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</si>
  <si>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</si>
  <si>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</si>
  <si>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</si>
  <si>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</si>
  <si>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</si>
  <si>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</si>
  <si>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</si>
  <si>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</si>
  <si>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</si>
  <si>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</si>
  <si>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</si>
  <si>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</si>
  <si>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</si>
  <si>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</si>
  <si>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</si>
  <si>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</si>
  <si>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</si>
  <si>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</si>
  <si>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</si>
  <si>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</si>
  <si>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</si>
  <si>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</si>
  <si>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</si>
  <si>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</si>
  <si>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</si>
  <si>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</si>
  <si>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</si>
  <si>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</si>
  <si>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</si>
  <si>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</si>
  <si>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</si>
  <si>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</si>
  <si>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</si>
  <si>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</si>
  <si>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</si>
  <si>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</si>
  <si>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</si>
  <si>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</si>
  <si>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</si>
  <si>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</si>
  <si>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</si>
  <si>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</si>
  <si>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</si>
  <si>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</si>
  <si>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</si>
  <si>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</si>
  <si>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</si>
  <si>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</si>
  <si>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</si>
  <si>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</si>
  <si>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</si>
  <si>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</si>
  <si>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</si>
  <si>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</si>
  <si>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</si>
  <si>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</si>
  <si>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</si>
  <si>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</si>
  <si>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</si>
  <si>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</si>
  <si>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</si>
  <si>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</si>
  <si>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</si>
  <si>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</si>
  <si>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</si>
  <si>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</si>
  <si>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</si>
  <si>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</si>
  <si>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</si>
  <si>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</si>
  <si>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</si>
  <si>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</si>
  <si>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</si>
  <si>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</si>
  <si>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</si>
  <si>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</si>
  <si>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</si>
  <si>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</si>
  <si>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</si>
  <si>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</si>
  <si>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</si>
  <si>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</si>
  <si>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</si>
  <si>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</si>
  <si>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</si>
  <si>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</si>
  <si>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</si>
  <si>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</si>
  <si>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</si>
  <si>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</si>
  <si>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</si>
  <si>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</si>
  <si>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</si>
  <si>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</si>
  <si>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</si>
  <si>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</si>
  <si>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</si>
  <si>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</si>
  <si>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</si>
  <si>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</si>
  <si>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</si>
  <si>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</si>
  <si>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</si>
  <si>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</si>
  <si>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</si>
  <si>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</si>
  <si>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</si>
  <si>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</si>
  <si>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</si>
  <si>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</si>
  <si>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</si>
  <si>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</si>
  <si>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</si>
  <si>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</si>
  <si>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</si>
  <si>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</si>
  <si>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</si>
  <si>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</si>
  <si>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</si>
  <si>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</si>
  <si>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</si>
  <si>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</si>
  <si>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</si>
  <si>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</si>
  <si>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</si>
  <si>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</si>
  <si>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</si>
  <si>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</si>
  <si>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</si>
  <si>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</si>
  <si>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</si>
  <si>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</si>
  <si>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</si>
  <si>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</si>
  <si>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</si>
  <si>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</si>
  <si>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</si>
  <si>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</si>
  <si>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</si>
  <si>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</si>
  <si>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</si>
  <si>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</si>
  <si>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</si>
  <si>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</si>
  <si>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</si>
  <si>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</si>
  <si>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</si>
  <si>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</si>
  <si>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</si>
  <si>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</si>
  <si>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</si>
  <si>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</si>
  <si>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</si>
  <si>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</si>
  <si>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</si>
  <si>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</si>
  <si>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</si>
  <si>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</si>
  <si>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</si>
  <si>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</si>
  <si>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</si>
  <si>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</si>
  <si>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</si>
  <si>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</si>
  <si>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</si>
  <si>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</si>
  <si>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</si>
  <si>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</si>
  <si>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</si>
  <si>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</si>
  <si>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</si>
  <si>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</si>
  <si>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</si>
  <si>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</si>
  <si>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</si>
  <si>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</si>
  <si>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</si>
  <si>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</si>
  <si>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</si>
  <si>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</si>
  <si>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</si>
  <si>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</si>
  <si>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</si>
  <si>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</si>
  <si>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</si>
  <si>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</si>
  <si>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</si>
  <si>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</si>
  <si>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</si>
  <si>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</si>
  <si>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</si>
  <si>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</si>
  <si>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</si>
  <si>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</si>
  <si>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</si>
  <si>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</si>
  <si>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</si>
  <si>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</si>
  <si>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</si>
  <si>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</si>
  <si>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</si>
  <si>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</si>
  <si>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</si>
  <si>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</si>
  <si>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</si>
  <si>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</si>
  <si>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</si>
  <si>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</si>
  <si>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</si>
  <si>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</si>
  <si>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</si>
  <si>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</si>
  <si>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</si>
  <si>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</si>
  <si>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</si>
  <si>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</si>
  <si>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</si>
  <si>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</si>
  <si>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</si>
  <si>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</si>
  <si>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</si>
  <si>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</si>
  <si>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</si>
  <si>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</si>
  <si>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</si>
  <si>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</si>
  <si>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</si>
  <si>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</si>
  <si>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</si>
  <si>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</si>
  <si>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</si>
  <si>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</si>
  <si>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</si>
  <si>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</si>
  <si>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</si>
  <si>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</si>
  <si>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</si>
  <si>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</si>
  <si>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</si>
  <si>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</si>
  <si>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</si>
  <si>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</si>
  <si>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</si>
  <si>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</si>
  <si>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</si>
  <si>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</si>
  <si>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</si>
  <si>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</si>
  <si>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</si>
  <si>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</si>
  <si>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</si>
  <si>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</si>
  <si>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</si>
  <si>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</si>
  <si>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</si>
  <si>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</si>
  <si>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</si>
  <si>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</si>
  <si>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</si>
  <si>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</si>
  <si>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</si>
  <si>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</si>
  <si>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</si>
  <si>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</si>
  <si>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</si>
  <si>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</si>
  <si>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</si>
  <si>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</si>
  <si>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</si>
  <si>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</si>
  <si>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</si>
  <si>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</si>
  <si>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</si>
  <si>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</si>
  <si>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</si>
  <si>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</si>
  <si>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</si>
  <si>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</si>
  <si>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</si>
  <si>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</si>
  <si>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</si>
  <si>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</si>
  <si>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</si>
  <si>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</si>
  <si>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</si>
  <si>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</si>
  <si>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</si>
  <si>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</si>
  <si>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</si>
  <si>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</si>
  <si>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</si>
  <si>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</si>
  <si>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</si>
  <si>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</si>
  <si>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</si>
  <si>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</si>
  <si>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</si>
  <si>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</si>
  <si>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</si>
  <si>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</si>
  <si>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</si>
  <si>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</si>
  <si>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</si>
  <si>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</si>
  <si>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</si>
  <si>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</si>
  <si>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</si>
  <si>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</si>
  <si>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</si>
  <si>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</si>
  <si>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</si>
  <si>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</si>
  <si>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</si>
  <si>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</si>
  <si>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</si>
  <si>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</si>
  <si>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</si>
  <si>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</si>
  <si>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</si>
  <si>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</si>
  <si>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</si>
  <si>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</si>
  <si>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</si>
  <si>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</si>
  <si>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</si>
  <si>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</si>
  <si>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</si>
  <si>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</si>
  <si>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</si>
  <si>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</si>
  <si>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</si>
  <si>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</si>
  <si>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</si>
  <si>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</si>
  <si>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</si>
  <si>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</si>
  <si>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</si>
  <si>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</si>
  <si>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</si>
  <si>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</si>
  <si>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</si>
  <si>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</si>
  <si>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</si>
  <si>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</si>
  <si>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</si>
  <si>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</si>
  <si>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</si>
  <si>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</si>
  <si>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</si>
  <si>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</si>
  <si>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</si>
  <si>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</si>
  <si>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</si>
  <si>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</si>
  <si>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</si>
  <si>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</si>
  <si>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</si>
  <si>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</si>
  <si>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</si>
  <si>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</si>
  <si>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</si>
  <si>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</si>
  <si>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</si>
  <si>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</si>
  <si>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</si>
  <si>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</si>
  <si>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</si>
  <si>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</si>
  <si>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</si>
  <si>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</si>
  <si>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</si>
  <si>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</si>
  <si>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</si>
  <si>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</si>
  <si>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</si>
  <si>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</si>
  <si>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</si>
  <si>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</si>
  <si>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</si>
  <si>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</si>
  <si>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</si>
  <si>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</si>
  <si>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</si>
  <si>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</si>
  <si>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</si>
  <si>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</si>
  <si>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</si>
  <si>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</si>
  <si>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</si>
  <si>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</si>
  <si>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</si>
  <si>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</si>
  <si>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</si>
  <si>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</si>
  <si>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</si>
  <si>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</si>
  <si>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</si>
  <si>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</si>
  <si>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</si>
  <si>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</si>
  <si>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</si>
  <si>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</si>
  <si>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</si>
  <si>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</si>
  <si>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</si>
  <si>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</si>
  <si>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</si>
  <si>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</si>
  <si>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</si>
  <si>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</si>
  <si>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</si>
  <si>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</si>
  <si>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</si>
  <si>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</si>
  <si>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</si>
  <si>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</si>
  <si>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</si>
  <si>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</si>
  <si>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</si>
  <si>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</si>
  <si>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</si>
  <si>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</si>
  <si>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</si>
  <si>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</si>
  <si>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</si>
  <si>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</si>
  <si>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</si>
  <si>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</si>
  <si>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</si>
  <si>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</si>
  <si>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</si>
  <si>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</si>
  <si>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</si>
  <si>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</si>
  <si>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</si>
  <si>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</si>
  <si>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</si>
  <si>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</si>
  <si>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</si>
  <si>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</si>
  <si>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</si>
  <si>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</si>
  <si>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</si>
  <si>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</si>
  <si>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</si>
  <si>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</si>
  <si>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</si>
  <si>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</si>
  <si>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</si>
  <si>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</si>
  <si>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</si>
  <si>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</si>
  <si>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</si>
  <si>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</si>
  <si>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</si>
  <si>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</si>
  <si>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</si>
  <si>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</si>
  <si>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</si>
  <si>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</si>
  <si>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</si>
  <si>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</si>
  <si>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</si>
  <si>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</si>
  <si>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</si>
  <si>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</si>
  <si>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</si>
  <si>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</si>
  <si>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</si>
  <si>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</si>
  <si>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</si>
  <si>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</si>
  <si>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</si>
  <si>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</si>
  <si>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</si>
  <si>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</si>
  <si>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</si>
  <si>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</si>
  <si>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</si>
  <si>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</si>
  <si>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</si>
  <si>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</si>
  <si>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</si>
  <si>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</si>
  <si>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</si>
  <si>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</si>
  <si>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</si>
  <si>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</si>
  <si>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</si>
  <si>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</si>
  <si>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</si>
  <si>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</si>
  <si>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</si>
  <si>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</si>
  <si>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</si>
  <si>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</si>
  <si>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</si>
  <si>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</si>
  <si>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</si>
  <si>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</si>
  <si>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</si>
  <si>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</si>
  <si>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</si>
  <si>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</si>
  <si>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</si>
  <si>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</si>
  <si>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</si>
  <si>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</si>
  <si>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</si>
  <si>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</si>
  <si>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</si>
  <si>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</si>
  <si>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</si>
  <si>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</si>
  <si>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</si>
  <si>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</si>
  <si>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</si>
  <si>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</si>
  <si>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</si>
  <si>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</si>
  <si>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</si>
  <si>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</si>
  <si>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</si>
  <si>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</si>
  <si>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</si>
  <si>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</si>
  <si>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</si>
  <si>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</si>
  <si>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</si>
  <si>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</si>
  <si>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</si>
  <si>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</si>
  <si>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</si>
  <si>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</si>
  <si>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</si>
  <si>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</si>
  <si>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</si>
  <si>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</si>
  <si>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</si>
  <si>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</si>
  <si>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</si>
  <si>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</si>
  <si>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</si>
  <si>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</si>
  <si>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</si>
  <si>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</si>
  <si>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</si>
  <si>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</si>
  <si>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</si>
  <si>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</si>
  <si>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</si>
  <si>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</si>
  <si>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</si>
  <si>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</si>
  <si>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</si>
  <si>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</si>
  <si>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</si>
  <si>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</si>
  <si>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</si>
  <si>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</si>
  <si>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</si>
  <si>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</si>
  <si>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</si>
  <si>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</si>
  <si>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</si>
  <si>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</si>
  <si>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</si>
  <si>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</si>
  <si>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</si>
  <si>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</si>
  <si>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</si>
  <si>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</si>
  <si>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</si>
  <si>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</si>
  <si>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</si>
  <si>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</si>
  <si>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</si>
  <si>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</si>
  <si>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</si>
  <si>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</si>
  <si>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</si>
  <si>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</si>
  <si>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</si>
  <si>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</si>
  <si>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</si>
  <si>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</si>
  <si>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</si>
  <si>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</si>
  <si>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</si>
  <si>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</si>
  <si>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</si>
  <si>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</si>
  <si>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</si>
  <si>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</si>
  <si>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</si>
  <si>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</si>
  <si>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</si>
  <si>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</si>
  <si>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</si>
  <si>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</si>
  <si>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</si>
  <si>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</si>
  <si>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</si>
  <si>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</si>
  <si>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</si>
  <si>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</si>
  <si>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</si>
  <si>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</si>
  <si>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</si>
  <si>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</si>
  <si>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</si>
  <si>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</si>
  <si>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</si>
  <si>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</si>
  <si>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</si>
  <si>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</si>
  <si>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</si>
  <si>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</si>
  <si>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</si>
  <si>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</si>
  <si>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</si>
  <si>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</si>
  <si>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</si>
  <si>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</si>
  <si>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</si>
  <si>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</si>
  <si>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</si>
  <si>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</si>
  <si>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</si>
  <si>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</si>
  <si>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</si>
  <si>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</si>
  <si>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</si>
  <si>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</si>
  <si>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</si>
  <si>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</si>
  <si>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</si>
  <si>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</si>
  <si>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</si>
  <si>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</si>
  <si>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</si>
  <si>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</si>
  <si>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</si>
  <si>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</si>
  <si>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</si>
  <si>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</si>
  <si>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</si>
  <si>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</si>
  <si>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</si>
  <si>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</si>
  <si>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</si>
  <si>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</si>
  <si>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</si>
  <si>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</si>
  <si>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</si>
  <si>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</si>
  <si>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</si>
  <si>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</si>
  <si>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</si>
  <si>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</si>
  <si>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</si>
  <si>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</si>
  <si>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</si>
  <si>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</si>
  <si>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</si>
  <si>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</si>
  <si>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</si>
  <si>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</si>
  <si>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</si>
  <si>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</si>
  <si>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</si>
  <si>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</si>
  <si>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</si>
  <si>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</si>
  <si>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</si>
  <si>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</si>
  <si>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</si>
  <si>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</si>
  <si>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</si>
  <si>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</si>
  <si>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</si>
  <si>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</si>
  <si>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</si>
  <si>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</si>
  <si>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</si>
  <si>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</si>
  <si>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</si>
  <si>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</si>
  <si>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</si>
  <si>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</si>
  <si>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</si>
  <si>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</si>
  <si>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</si>
  <si>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</si>
  <si>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</si>
  <si>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</si>
  <si>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</si>
  <si>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</si>
  <si>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</si>
  <si>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</si>
  <si>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</si>
  <si>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</si>
  <si>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</si>
  <si>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</si>
  <si>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</si>
  <si>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</si>
  <si>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</si>
  <si>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</si>
  <si>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</si>
  <si>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</si>
  <si>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</si>
  <si>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</si>
  <si>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</si>
  <si>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</si>
  <si>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</si>
  <si>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</si>
  <si>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</si>
  <si>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</si>
  <si>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</si>
  <si>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</si>
  <si>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</si>
  <si>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</si>
  <si>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</si>
  <si>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</si>
  <si>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</si>
  <si>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</si>
  <si>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</si>
  <si>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</si>
  <si>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</si>
  <si>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</si>
  <si>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</si>
  <si>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</si>
  <si>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</si>
  <si>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</si>
  <si>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</si>
  <si>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</si>
  <si>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</si>
  <si>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</si>
  <si>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</si>
  <si>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</si>
  <si>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</si>
  <si>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</si>
  <si>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</si>
  <si>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</si>
  <si>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</si>
  <si>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</si>
  <si>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</si>
  <si>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</si>
  <si>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</si>
  <si>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</si>
  <si>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</si>
  <si>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</si>
  <si>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</si>
  <si>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</si>
  <si>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</si>
  <si>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</si>
  <si>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</si>
  <si>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</si>
  <si>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</si>
  <si>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</si>
  <si>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</si>
  <si>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</si>
  <si>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</si>
  <si>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</si>
  <si>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</si>
  <si>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</si>
  <si>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</si>
  <si>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</si>
  <si>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</si>
  <si>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</si>
  <si>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</si>
  <si>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</si>
  <si>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</si>
  <si>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</si>
  <si>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</si>
  <si>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</si>
  <si>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</si>
  <si>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</si>
  <si>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</si>
  <si>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</si>
  <si>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</si>
  <si>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</si>
  <si>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</si>
  <si>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</si>
  <si>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</si>
  <si>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</si>
  <si>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</si>
  <si>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</si>
  <si>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</si>
  <si>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</si>
  <si>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</si>
  <si>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</si>
  <si>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</si>
  <si>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</si>
  <si>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</si>
  <si>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</si>
  <si>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</si>
  <si>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</si>
  <si>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</si>
  <si>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</si>
  <si>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</si>
  <si>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</si>
  <si>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</si>
  <si>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</si>
  <si>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</si>
  <si>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</si>
  <si>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</si>
  <si>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</si>
  <si>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</si>
  <si>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</si>
  <si>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</si>
  <si>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</si>
  <si>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</si>
  <si>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</si>
  <si>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</si>
  <si>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</si>
  <si>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</si>
  <si>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</si>
  <si>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</si>
  <si>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</si>
  <si>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</si>
  <si>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</si>
  <si>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</si>
  <si>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</si>
  <si>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</si>
  <si>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</si>
  <si>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</si>
  <si>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</si>
  <si>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</si>
  <si>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</si>
  <si>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</si>
  <si>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</si>
  <si>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</si>
  <si>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</si>
  <si>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</si>
  <si>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</si>
  <si>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</si>
  <si>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</si>
  <si>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</si>
  <si>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</si>
  <si>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</si>
  <si>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</si>
  <si>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</si>
  <si>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</si>
  <si>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</si>
  <si>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</si>
  <si>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</si>
  <si>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</si>
  <si>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</si>
  <si>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</si>
  <si>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</si>
  <si>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</si>
  <si>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</si>
  <si>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</si>
  <si>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</si>
  <si>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</si>
  <si>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</si>
  <si>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</si>
  <si>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</si>
  <si>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</si>
  <si>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</si>
  <si>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</si>
  <si>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</si>
  <si>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</si>
  <si>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</si>
  <si>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</si>
  <si>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</si>
  <si>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</si>
  <si>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</si>
  <si>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</si>
  <si>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</si>
  <si>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</si>
  <si>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</si>
  <si>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</si>
  <si>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</si>
  <si>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</si>
  <si>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</si>
  <si>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</si>
  <si>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</si>
  <si>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</si>
  <si>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</si>
  <si>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</si>
  <si>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</si>
  <si>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</si>
  <si>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</si>
  <si>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</si>
  <si>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</si>
  <si>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</si>
  <si>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</si>
  <si>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</si>
  <si>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</si>
  <si>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</si>
  <si>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</si>
  <si>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</si>
  <si>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</si>
  <si>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</si>
  <si>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</si>
  <si>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</si>
  <si>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</si>
  <si>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</si>
  <si>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</si>
  <si>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</si>
  <si>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</si>
  <si>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</si>
  <si>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</si>
  <si>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</si>
  <si>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</si>
  <si>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</si>
  <si>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</si>
  <si>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</si>
  <si>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</si>
  <si>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</si>
  <si>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</si>
  <si>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</si>
  <si>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</si>
  <si>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</si>
  <si>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</si>
  <si>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</si>
  <si>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</si>
  <si>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</si>
  <si>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</si>
  <si>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</si>
  <si>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</si>
  <si>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</si>
  <si>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</si>
  <si>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</si>
  <si>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</si>
  <si>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</si>
  <si>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</si>
  <si>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</si>
  <si>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</si>
  <si>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</si>
  <si>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</si>
  <si>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</si>
  <si>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</si>
  <si>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</si>
  <si>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</si>
  <si>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</si>
  <si>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</si>
  <si>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</si>
  <si>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</si>
  <si>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</si>
  <si>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</si>
  <si>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</si>
  <si>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</si>
  <si>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</si>
  <si>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</si>
  <si>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</si>
  <si>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</si>
  <si>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</si>
  <si>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</si>
  <si>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</si>
  <si>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</si>
  <si>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</si>
  <si>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</si>
  <si>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</si>
  <si>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</si>
  <si>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</si>
  <si>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</si>
  <si>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</si>
  <si>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</si>
  <si>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</si>
  <si>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</si>
  <si>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</si>
  <si>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</si>
  <si>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</si>
  <si>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</si>
  <si>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</si>
  <si>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</si>
  <si>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</si>
  <si>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</si>
  <si>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</si>
  <si>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</si>
  <si>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</si>
  <si>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</si>
  <si>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</si>
  <si>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</si>
  <si>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</si>
  <si>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</si>
  <si>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</si>
  <si>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</si>
  <si>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</si>
  <si>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</si>
  <si>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</si>
  <si>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</si>
  <si>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</si>
  <si>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</si>
  <si>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</si>
  <si>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</si>
  <si>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</si>
  <si>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</si>
  <si>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</si>
  <si>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</si>
  <si>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</si>
  <si>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</si>
  <si>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</si>
  <si>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</si>
  <si>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</si>
  <si>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</si>
  <si>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</si>
  <si>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</si>
  <si>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</si>
  <si>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</si>
  <si>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</si>
  <si>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</si>
  <si>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</si>
  <si>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</si>
  <si>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</si>
  <si>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</si>
  <si>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</si>
  <si>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</si>
  <si>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</si>
  <si>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</si>
  <si>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</si>
  <si>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</si>
  <si>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</si>
  <si>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</si>
  <si>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</si>
  <si>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</si>
  <si>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</si>
  <si>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</si>
  <si>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</si>
  <si>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</si>
  <si>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</si>
  <si>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</si>
  <si>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</si>
  <si>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</si>
  <si>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</si>
  <si>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</si>
  <si>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</si>
  <si>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</si>
  <si>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</si>
  <si>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</si>
  <si>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</si>
  <si>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</si>
  <si>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</si>
  <si>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</si>
  <si>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</si>
  <si>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</si>
  <si>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</si>
  <si>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</si>
  <si>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</si>
  <si>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</si>
  <si>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</si>
  <si>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</si>
  <si>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</si>
  <si>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</si>
  <si>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</si>
  <si>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</si>
  <si>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</si>
  <si>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</si>
  <si>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</si>
  <si>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</si>
  <si>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</si>
  <si>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</si>
  <si>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</si>
  <si>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</si>
  <si>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</si>
  <si>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</si>
  <si>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</si>
  <si>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</si>
  <si>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</si>
  <si>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</si>
  <si>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</si>
  <si>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</si>
  <si>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</si>
  <si>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</si>
  <si>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</si>
  <si>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</si>
  <si>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</si>
  <si>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</si>
  <si>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</si>
  <si>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</si>
  <si>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</si>
  <si>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</si>
  <si>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</si>
  <si>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</si>
  <si>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</si>
  <si>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</si>
  <si>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</si>
  <si>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</si>
  <si>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</si>
  <si>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</si>
  <si>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</si>
  <si>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</si>
  <si>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</si>
  <si>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</si>
  <si>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</si>
  <si>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</si>
  <si>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</si>
  <si>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</si>
  <si>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</si>
  <si>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</si>
  <si>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</si>
  <si>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</si>
  <si>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</si>
  <si>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</si>
  <si>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</si>
  <si>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</si>
  <si>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</si>
  <si>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</si>
  <si>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</si>
  <si>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</si>
  <si>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</si>
  <si>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</si>
  <si>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</si>
  <si>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</si>
  <si>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</si>
  <si>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</si>
  <si>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</si>
  <si>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</si>
  <si>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</si>
  <si>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</si>
  <si>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</si>
  <si>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</si>
  <si>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</si>
  <si>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</si>
  <si>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</si>
  <si>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</si>
  <si>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</si>
  <si>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</si>
  <si>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</si>
  <si>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</si>
  <si>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</si>
  <si>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</si>
  <si>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</si>
  <si>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</si>
  <si>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</si>
  <si>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</si>
  <si>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</si>
  <si>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</si>
  <si>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</si>
  <si>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</si>
  <si>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</si>
  <si>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</si>
  <si>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</si>
  <si>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</si>
  <si>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</si>
  <si>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</si>
  <si>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</si>
  <si>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</si>
  <si>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</si>
  <si>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</si>
  <si>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</si>
  <si>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</si>
  <si>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</si>
  <si>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</si>
  <si>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</si>
  <si>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</si>
  <si>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</si>
  <si>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</si>
  <si>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</si>
  <si>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</si>
  <si>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</si>
  <si>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</si>
  <si>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</si>
  <si>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</si>
  <si>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</si>
  <si>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</si>
  <si>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</si>
  <si>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</si>
  <si>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</si>
  <si>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</si>
  <si>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</si>
  <si>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</si>
  <si>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</si>
  <si>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</si>
  <si>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</si>
  <si>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</si>
  <si>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</si>
  <si>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</si>
  <si>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</si>
  <si>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</si>
  <si>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</si>
  <si>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</si>
  <si>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</si>
  <si>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</si>
  <si>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</si>
  <si>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</si>
  <si>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</si>
  <si>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</si>
  <si>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</si>
  <si>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</si>
  <si>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</si>
  <si>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</si>
  <si>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</si>
  <si>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</si>
  <si>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</si>
  <si>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</si>
  <si>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</si>
  <si>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</si>
  <si>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</si>
  <si>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</si>
  <si>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</si>
  <si>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</si>
  <si>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</si>
  <si>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</si>
  <si>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</si>
  <si>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</si>
  <si>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</si>
  <si>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</si>
  <si>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</si>
  <si>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</si>
  <si>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</si>
  <si>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</si>
  <si>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</si>
  <si>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</si>
  <si>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</si>
  <si>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</si>
  <si>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</si>
  <si>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</si>
  <si>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</si>
  <si>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</si>
  <si>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</si>
  <si>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</si>
  <si>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</si>
  <si>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</si>
  <si>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</si>
  <si>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</si>
  <si>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</si>
  <si>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</si>
  <si>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</si>
  <si>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</si>
  <si>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</si>
  <si>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</si>
  <si>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</si>
  <si>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</si>
  <si>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</si>
  <si>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</si>
  <si>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</si>
  <si>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</si>
  <si>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</si>
  <si>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</si>
  <si>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</si>
  <si>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</si>
  <si>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</si>
  <si>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</si>
  <si>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</si>
  <si>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</si>
  <si>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</si>
  <si>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</si>
  <si>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</si>
  <si>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</si>
  <si>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</si>
  <si>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</si>
  <si>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</si>
  <si>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</si>
  <si>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</si>
  <si>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</si>
  <si>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</si>
  <si>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</si>
  <si>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</si>
  <si>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</si>
  <si>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</si>
  <si>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</si>
  <si>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</si>
  <si>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</si>
  <si>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</si>
  <si>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</si>
  <si>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</si>
  <si>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</si>
  <si>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</si>
  <si>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</si>
  <si>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</si>
  <si>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</si>
  <si>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</si>
  <si>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</si>
  <si>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</si>
  <si>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</si>
  <si>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</si>
  <si>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</si>
  <si>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</si>
  <si>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</si>
  <si>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</si>
  <si>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</si>
  <si>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</si>
  <si>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</si>
  <si>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</si>
  <si>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</si>
  <si>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</si>
  <si>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</si>
  <si>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</si>
  <si>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</si>
  <si>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</si>
  <si>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</si>
  <si>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</si>
  <si>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</si>
  <si>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</si>
  <si>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</si>
  <si>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</si>
  <si>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</si>
  <si>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</si>
  <si>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</si>
  <si>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</si>
  <si>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</si>
  <si>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</si>
  <si>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</si>
  <si>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</si>
  <si>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</si>
  <si>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</si>
  <si>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</si>
  <si>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</si>
  <si>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</si>
  <si>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</si>
  <si>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</si>
  <si>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</si>
  <si>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</si>
  <si>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</si>
  <si>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</si>
  <si>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</si>
  <si>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</si>
  <si>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</si>
  <si>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</si>
  <si>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</si>
  <si>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</si>
  <si>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</si>
  <si>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</si>
  <si>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</si>
  <si>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</si>
  <si>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</si>
  <si>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</si>
  <si>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</si>
  <si>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</si>
  <si>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</si>
  <si>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</si>
  <si>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</si>
  <si>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</si>
  <si>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</si>
  <si>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</si>
  <si>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</si>
  <si>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</si>
  <si>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</si>
  <si>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</si>
  <si>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</si>
  <si>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</si>
  <si>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</si>
  <si>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</si>
  <si>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</si>
  <si>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</si>
  <si>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</si>
  <si>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</si>
  <si>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</si>
  <si>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</si>
  <si>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</si>
  <si>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</si>
  <si>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</si>
  <si>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</si>
  <si>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</si>
  <si>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</si>
  <si>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</si>
  <si>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</si>
  <si>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</si>
  <si>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</si>
  <si>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</si>
  <si>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</si>
  <si>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</si>
  <si>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</si>
  <si>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</si>
  <si>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</si>
  <si>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</si>
  <si>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</si>
  <si>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</si>
  <si>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</si>
  <si>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</si>
  <si>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</si>
  <si>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</si>
  <si>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</si>
  <si>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</si>
  <si>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</si>
  <si>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</si>
  <si>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</si>
  <si>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</si>
  <si>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</si>
  <si>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</si>
  <si>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</si>
  <si>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</si>
  <si>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</si>
  <si>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</si>
  <si>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</si>
  <si>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</si>
  <si>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</si>
  <si>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</si>
  <si>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</si>
  <si>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</si>
  <si>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</si>
  <si>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</si>
  <si>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</si>
  <si>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</si>
  <si>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</si>
  <si>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</si>
  <si>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</si>
  <si>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</si>
  <si>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</si>
  <si>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</si>
  <si>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</si>
  <si>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</si>
  <si>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</si>
  <si>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</si>
  <si>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</si>
  <si>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</si>
  <si>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</si>
  <si>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</si>
  <si>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</si>
  <si>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</si>
  <si>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</si>
  <si>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</si>
  <si>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</si>
  <si>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</si>
  <si>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</si>
  <si>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</si>
  <si>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</si>
  <si>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</si>
  <si>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</si>
  <si>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</si>
  <si>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</si>
  <si>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</si>
  <si>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</si>
  <si>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</si>
  <si>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</si>
  <si>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</si>
  <si>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</si>
  <si>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</si>
  <si>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</si>
  <si>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</si>
  <si>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</si>
  <si>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</si>
  <si>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</si>
  <si>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</si>
  <si>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</si>
  <si>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</si>
  <si>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</si>
  <si>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</si>
  <si>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</si>
  <si>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</si>
  <si>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</si>
  <si>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</si>
  <si>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</si>
  <si>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</si>
  <si>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</si>
  <si>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</si>
  <si>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</si>
  <si>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</si>
  <si>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</si>
  <si>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</si>
  <si>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</si>
  <si>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</si>
  <si>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</si>
  <si>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</si>
  <si>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</si>
  <si>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</si>
  <si>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</si>
  <si>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</si>
  <si>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</si>
  <si>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</si>
  <si>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</si>
  <si>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</si>
  <si>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</si>
  <si>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</si>
  <si>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</si>
  <si>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</si>
  <si>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</si>
  <si>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</si>
  <si>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</si>
  <si>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</si>
  <si>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</si>
  <si>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</si>
  <si>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</si>
  <si>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</si>
  <si>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</si>
  <si>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</si>
  <si>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</si>
  <si>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</si>
  <si>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</si>
  <si>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</si>
  <si>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</si>
  <si>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</si>
  <si>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</si>
  <si>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</si>
  <si>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</si>
  <si>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</si>
  <si>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</si>
  <si>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</si>
  <si>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</si>
  <si>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</si>
  <si>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</si>
  <si>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</si>
  <si>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</si>
  <si>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</si>
  <si>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</si>
  <si>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</si>
  <si>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</si>
  <si>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</si>
  <si>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</si>
  <si>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</si>
  <si>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</si>
  <si>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</si>
  <si>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</si>
  <si>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</si>
  <si>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</si>
  <si>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</si>
  <si>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</si>
  <si>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</si>
  <si>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</si>
  <si>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</si>
  <si>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</si>
  <si>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</si>
  <si>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</si>
  <si>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</si>
  <si>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</si>
  <si>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</si>
  <si>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</si>
  <si>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</si>
  <si>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</si>
  <si>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</si>
  <si>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</si>
  <si>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</si>
  <si>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</si>
  <si>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</si>
  <si>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</si>
  <si>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</si>
  <si>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</si>
  <si>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</si>
  <si>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</si>
  <si>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</si>
  <si>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</si>
  <si>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</si>
  <si>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</si>
  <si>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</si>
  <si>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</si>
  <si>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</si>
  <si>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</si>
  <si>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</si>
  <si>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</si>
  <si>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</si>
  <si>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</si>
  <si>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</si>
  <si>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</si>
  <si>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</si>
  <si>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</si>
  <si>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</si>
  <si>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</si>
  <si>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</si>
  <si>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</si>
  <si>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</si>
  <si>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</si>
  <si>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</si>
  <si>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</si>
  <si>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</si>
  <si>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</si>
  <si>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</si>
  <si>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</si>
  <si>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</si>
  <si>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</si>
  <si>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</si>
  <si>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</si>
  <si>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</si>
  <si>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</si>
  <si>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</si>
  <si>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</si>
  <si>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</si>
  <si>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</si>
  <si>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</si>
  <si>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</si>
  <si>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</si>
  <si>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</si>
  <si>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</si>
  <si>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</si>
  <si>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</si>
  <si>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</si>
  <si>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</si>
  <si>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</si>
  <si>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</si>
  <si>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</si>
  <si>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</si>
  <si>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</si>
  <si>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</si>
  <si>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</si>
  <si>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</si>
  <si>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</si>
  <si>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</si>
  <si>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</si>
  <si>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</si>
  <si>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</si>
  <si>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</si>
  <si>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</si>
  <si>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</si>
  <si>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</si>
  <si>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</si>
  <si>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</si>
  <si>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</si>
  <si>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</si>
  <si>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</si>
  <si>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</si>
  <si>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</si>
  <si>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</si>
  <si>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</si>
  <si>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</si>
  <si>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</si>
  <si>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</si>
  <si>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</si>
  <si>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</si>
  <si>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</si>
  <si>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</si>
  <si>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</si>
  <si>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</si>
  <si>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</si>
  <si>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</si>
  <si>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</si>
  <si>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</si>
  <si>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</si>
  <si>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</si>
  <si>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</si>
  <si>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</si>
  <si>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</si>
  <si>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</si>
  <si>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</si>
  <si>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</si>
  <si>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</si>
  <si>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</si>
  <si>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</si>
  <si>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</si>
  <si>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</si>
  <si>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</si>
  <si>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</si>
  <si>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</si>
  <si>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</si>
  <si>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</si>
  <si>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</si>
  <si>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</si>
  <si>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</si>
  <si>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</si>
  <si>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</si>
  <si>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</si>
  <si>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</si>
  <si>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</si>
  <si>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</si>
  <si>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</si>
  <si>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</si>
  <si>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</si>
  <si>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</si>
  <si>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</si>
  <si>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</si>
  <si>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</si>
  <si>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</si>
  <si>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</si>
  <si>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</si>
  <si>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</si>
  <si>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</si>
  <si>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</si>
  <si>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</si>
  <si>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</si>
  <si>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</si>
  <si>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</si>
  <si>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</si>
  <si>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</si>
  <si>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</si>
  <si>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</si>
  <si>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</si>
  <si>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</si>
  <si>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</si>
  <si>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</si>
  <si>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</si>
  <si>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</si>
  <si>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</si>
  <si>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</si>
  <si>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</si>
  <si>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</si>
  <si>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</si>
  <si>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</si>
  <si>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</si>
  <si>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</si>
  <si>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</si>
  <si>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</si>
  <si>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</si>
  <si>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</si>
  <si>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</si>
  <si>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</si>
  <si>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</si>
  <si>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</si>
  <si>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</si>
  <si>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</si>
  <si>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</si>
  <si>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</si>
  <si>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</si>
  <si>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</si>
  <si>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</si>
  <si>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</si>
  <si>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</si>
  <si>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</si>
  <si>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</si>
  <si>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</si>
  <si>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</si>
  <si>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</si>
  <si>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</si>
  <si>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</si>
  <si>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</si>
  <si>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</si>
  <si>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</si>
  <si>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</si>
  <si>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</si>
  <si>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</si>
  <si>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</si>
  <si>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</si>
  <si>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</si>
  <si>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</si>
  <si>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</si>
  <si>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</si>
  <si>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</si>
  <si>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</si>
  <si>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</si>
  <si>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</si>
  <si>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</si>
  <si>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</si>
  <si>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</si>
  <si>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</si>
  <si>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</si>
  <si>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</si>
  <si>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</si>
  <si>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</si>
  <si>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</si>
  <si>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</si>
  <si>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</si>
  <si>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</si>
  <si>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</si>
  <si>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</si>
  <si>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</si>
  <si>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</si>
  <si>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</si>
  <si>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</si>
  <si>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</si>
  <si>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</si>
  <si>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</si>
  <si>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</si>
  <si>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</si>
  <si>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</si>
  <si>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</si>
  <si>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</si>
  <si>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</si>
  <si>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</si>
  <si>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</si>
  <si>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</si>
  <si>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</si>
  <si>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</si>
  <si>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</si>
  <si>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</si>
  <si>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</si>
  <si>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</si>
  <si>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</si>
  <si>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</si>
  <si>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</si>
  <si>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</si>
  <si>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</si>
  <si>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</si>
  <si>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</si>
  <si>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</si>
  <si>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</si>
  <si>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</si>
  <si>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</si>
  <si>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</si>
  <si>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</si>
  <si>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</si>
  <si>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</si>
  <si>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</si>
  <si>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</si>
  <si>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</si>
  <si>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</si>
  <si>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</si>
  <si>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</si>
  <si>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</si>
  <si>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</si>
  <si>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</si>
  <si>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</si>
  <si>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</si>
  <si>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</si>
  <si>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</si>
  <si>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</si>
  <si>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</si>
  <si>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</si>
  <si>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</si>
  <si>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</si>
  <si>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</si>
  <si>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</si>
  <si>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</si>
  <si>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</si>
  <si>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</si>
  <si>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</si>
  <si>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</si>
  <si>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</si>
  <si>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</si>
  <si>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</si>
  <si>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</si>
  <si>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</si>
  <si>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</si>
  <si>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</si>
  <si>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</si>
  <si>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</si>
  <si>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</si>
  <si>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</si>
  <si>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</si>
  <si>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</si>
  <si>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</si>
  <si>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</si>
  <si>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</si>
  <si>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</si>
  <si>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</si>
  <si>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</si>
  <si>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</si>
  <si>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</si>
  <si>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</si>
  <si>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</si>
  <si>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</si>
  <si>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</si>
  <si>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</si>
  <si>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</si>
  <si>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</si>
  <si>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</si>
  <si>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</si>
  <si>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</si>
  <si>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</si>
  <si>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</si>
  <si>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</si>
  <si>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</si>
  <si>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</si>
  <si>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</si>
  <si>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</si>
  <si>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</si>
  <si>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</si>
  <si>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</si>
  <si>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</si>
  <si>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</si>
  <si>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</si>
  <si>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</si>
  <si>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</si>
  <si>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</si>
  <si>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</si>
  <si>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</si>
  <si>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</si>
  <si>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</si>
  <si>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</si>
  <si>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</si>
  <si>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</si>
  <si>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</si>
  <si>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</si>
  <si>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</si>
  <si>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</si>
  <si>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</si>
  <si>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</si>
  <si>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</si>
  <si>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</si>
  <si>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</si>
  <si>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</si>
  <si>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</si>
  <si>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</si>
  <si>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</si>
  <si>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</si>
  <si>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</si>
  <si>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</si>
  <si>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</si>
  <si>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</si>
  <si>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</si>
  <si>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</si>
  <si>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</si>
  <si>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</si>
  <si>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</si>
  <si>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</si>
  <si>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</si>
  <si>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</si>
  <si>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</si>
  <si>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</si>
  <si>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</si>
  <si>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</si>
  <si>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</si>
  <si>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</si>
  <si>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COLEGIO GIMNASIO BASTIDAS</t>
  </si>
  <si>
    <t>INSTITUCION EDUCATIVA DISTRITAL RODRIGO DE BASTIDAS</t>
  </si>
  <si>
    <t>23/2020/180</t>
  </si>
  <si>
    <t>1</t>
  </si>
  <si>
    <t>4/02/2016</t>
  </si>
  <si>
    <t>30/11/2016</t>
  </si>
  <si>
    <t>2</t>
  </si>
  <si>
    <t>4/02/2019</t>
  </si>
  <si>
    <t>31/08/2019</t>
  </si>
  <si>
    <t>16</t>
  </si>
  <si>
    <t>7/02/2017</t>
  </si>
  <si>
    <t>30/11/2017</t>
  </si>
  <si>
    <t>21</t>
  </si>
  <si>
    <t>5/02/2018</t>
  </si>
  <si>
    <t>30/11/2018</t>
  </si>
  <si>
    <t>Prestar el servicio hogares comunitarios de bienestar tradicional comunitario de conformidad con las directrices, lineamientos y parámetros establecidos por el ICBF, en armonía con la política de estado para el desarrollo integral de la primera infancia de Cero a Siempre”</t>
  </si>
  <si>
    <t>PRESTACION DE SERVICIOS EN ATENCION INTEGRAL DE LOS GRADOS PREJARDIN, JARDIN Y TRANSICIÓN EN EDUCACIÓN INICIAL, TENIENDO EN CUENTA LOS COMPONENTES DE ATENCIÓN PSICOSOCIAL, NUTRICIÓN Y CUIDADO A LOS NIÑOS, NIÑAS MENORES DE 5 AÑOS INSCRITOS EN LA INSTITUCION EDUCATIVA</t>
  </si>
  <si>
    <t>ARTICULAR ACCIONES, ESFUERZOS, Y CAPACIDADES PARA LA ATENCIÓN DE LOS NIÑOS Y NIÑAS DE PREESCOLAR, TRANSICIÓN, BASICA PRIMARIA Y MEDIA VOCACIONAL, CUYAS EDADES SE ENCUENTRAN ENTRE 4, 5, 6 HASTA LOS 17 AÑOS Y LOS NIÑOS, NIÑAS EN LOS GRADOS DE 1 A 5 PRIMARIA, HASTA LA EDAD 12 AÑOS</t>
  </si>
  <si>
    <t>Prestar los servicios para la atención a la primera infancia en los hogares comunitarios de bienestar HCB, de conformidad con el manual operativo de la modalidad comunitaria y el servicio HCB Familia Mujeres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</si>
  <si>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20004302020</t>
  </si>
  <si>
    <t>ICBF-CA -313-2020</t>
  </si>
  <si>
    <t>Prestar los servicios de educación inicial en el marco de la atenciòn integral   a los servicios de HCB TRADICIONAL,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t>
  </si>
  <si>
    <t>JOSE LUIS CATAÑO ECHEVERRI</t>
  </si>
  <si>
    <t>CALLE 26 No 17 A 38</t>
  </si>
  <si>
    <t>3217647239</t>
  </si>
  <si>
    <t>Calle 26 No 17 A 38</t>
  </si>
  <si>
    <t>funclavid@gmail.com</t>
  </si>
  <si>
    <t xml:space="preserv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</si>
  <si>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20211310000278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</si>
</sst>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0" zoomScale="85" zoomScaleNormal="85" zoomScaleSheetLayoutView="40" zoomScalePageLayoutView="40" workbookViewId="0">
      <selection activeCell="C16" sqref="C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7" t="str">
        <f>HYPERLINK("#MI_Oferente_Singular!A114","CAPACIDAD RESIDUAL")</f>
        <v>CAPACIDAD RESIDUAL</v>
      </c>
      <c r="F8" s="178"/>
      <c r="G8" s="17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7" t="str">
        <f>HYPERLINK("#MI_Oferente_Singular!A162","TALENTO HUMANO")</f>
        <v>TALENTO HUMANO</v>
      </c>
      <c r="F9" s="178"/>
      <c r="G9" s="17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7" t="str">
        <f>HYPERLINK("#MI_Oferente_Singular!F162","INFRAESTRUCTURA")</f>
        <v>INFRAESTRUCTURA</v>
      </c>
      <c r="F10" s="178"/>
      <c r="G10" s="179"/>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2705</v>
      </c>
      <c r="D15" s="35"/>
      <c r="E15" s="35"/>
      <c r="F15" s="5"/>
      <c r="G15" s="32" t="s">
        <v>1168</v>
      </c>
      <c r="H15" s="102" t="s">
        <v>208</v>
      </c>
      <c r="I15" s="32" t="s">
        <v>2624</v>
      </c>
      <c r="J15" s="107" t="s">
        <v>2626</v>
      </c>
      <c r="L15" s="203" t="s">
        <v>8</v>
      </c>
      <c r="M15" s="203"/>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8">
        <v>900949110</v>
      </c>
      <c r="C20" s="5"/>
      <c r="D20" s="73"/>
      <c r="E20" s="5"/>
      <c r="F20" s="5"/>
      <c r="G20" s="5"/>
      <c r="H20" s="180"/>
      <c r="I20" s="142" t="s">
        <v>208</v>
      </c>
      <c r="J20" s="143" t="s">
        <v>222</v>
      </c>
      <c r="K20" s="144">
        <v>2059638912</v>
      </c>
      <c r="L20" s="145"/>
      <c r="M20" s="145">
        <v>44561</v>
      </c>
      <c r="N20" s="128">
        <f>+(M20-L20)/30</f>
        <v>1485.3666666666666</v>
      </c>
      <c r="O20" s="131"/>
      <c r="U20" s="127"/>
      <c r="V20" s="104">
        <f ca="1">NOW()</f>
        <v>44193.907831481483</v>
      </c>
      <c r="W20" s="104">
        <f ca="1">NOW()</f>
        <v>44193.907831481483</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FUNDACION CLAMOR POR LA VIDA</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2704</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09" t="s">
        <v>31</v>
      </c>
      <c r="D48" s="114" t="s">
        <v>2679</v>
      </c>
      <c r="E48" s="170">
        <v>43909</v>
      </c>
      <c r="F48" s="170">
        <v>44165</v>
      </c>
      <c r="G48" s="153">
        <f>IF(AND(E48&lt;&gt;"",F48&lt;&gt;""),((F48-E48)/30),"")</f>
        <v>8.5333333333333332</v>
      </c>
      <c r="H48" s="115" t="s">
        <v>2692</v>
      </c>
      <c r="I48" s="110" t="s">
        <v>220</v>
      </c>
      <c r="J48" s="110" t="s">
        <v>488</v>
      </c>
      <c r="K48" s="116">
        <v>4159012317</v>
      </c>
      <c r="L48" s="111" t="s">
        <v>1148</v>
      </c>
      <c r="M48" s="112">
        <v>1</v>
      </c>
      <c r="N48" s="111" t="s">
        <v>2634</v>
      </c>
      <c r="O48" s="111" t="s">
        <v>1148</v>
      </c>
      <c r="P48" s="78"/>
    </row>
    <row r="49" spans="1:16" s="6" customFormat="1" ht="24.75" customHeight="1" x14ac:dyDescent="0.25">
      <c r="A49" s="136">
        <v>2</v>
      </c>
      <c r="B49" s="115" t="s">
        <v>2676</v>
      </c>
      <c r="C49" s="109" t="s">
        <v>31</v>
      </c>
      <c r="D49" s="114" t="s">
        <v>2679</v>
      </c>
      <c r="E49" s="170">
        <v>43909</v>
      </c>
      <c r="F49" s="170">
        <v>44165</v>
      </c>
      <c r="G49" s="153">
        <f t="shared" ref="G49:G50" si="2">IF(AND(E49&lt;&gt;"",F49&lt;&gt;""),((F49-E49)/30),"")</f>
        <v>8.5333333333333332</v>
      </c>
      <c r="H49" s="115" t="s">
        <v>2692</v>
      </c>
      <c r="I49" s="110" t="s">
        <v>220</v>
      </c>
      <c r="J49" s="110" t="s">
        <v>496</v>
      </c>
      <c r="K49" s="116">
        <v>4159012317</v>
      </c>
      <c r="L49" s="111" t="s">
        <v>1148</v>
      </c>
      <c r="M49" s="112">
        <v>1</v>
      </c>
      <c r="N49" s="111" t="s">
        <v>2634</v>
      </c>
      <c r="O49" s="111" t="s">
        <v>1148</v>
      </c>
      <c r="P49" s="78"/>
    </row>
    <row r="50" spans="1:16" s="6" customFormat="1" ht="24.75" customHeight="1" x14ac:dyDescent="0.25">
      <c r="A50" s="136">
        <v>3</v>
      </c>
      <c r="B50" s="115" t="s">
        <v>2676</v>
      </c>
      <c r="C50" s="109" t="s">
        <v>31</v>
      </c>
      <c r="D50" s="114" t="s">
        <v>2679</v>
      </c>
      <c r="E50" s="170">
        <v>43909</v>
      </c>
      <c r="F50" s="170">
        <v>44165</v>
      </c>
      <c r="G50" s="153">
        <f t="shared" si="2"/>
        <v>8.5333333333333332</v>
      </c>
      <c r="H50" s="115" t="s">
        <v>2692</v>
      </c>
      <c r="I50" s="110" t="s">
        <v>220</v>
      </c>
      <c r="J50" s="110" t="s">
        <v>500</v>
      </c>
      <c r="K50" s="116">
        <v>4159012317</v>
      </c>
      <c r="L50" s="111" t="s">
        <v>1148</v>
      </c>
      <c r="M50" s="112">
        <v>1</v>
      </c>
      <c r="N50" s="111" t="s">
        <v>2634</v>
      </c>
      <c r="O50" s="111" t="s">
        <v>1148</v>
      </c>
      <c r="P50" s="78"/>
    </row>
    <row r="51" spans="1:16" s="6" customFormat="1" ht="24.75" customHeight="1" outlineLevel="1" x14ac:dyDescent="0.25">
      <c r="A51" s="136">
        <v>4</v>
      </c>
      <c r="B51" s="115" t="s">
        <v>2676</v>
      </c>
      <c r="C51" s="109" t="s">
        <v>31</v>
      </c>
      <c r="D51" s="114" t="s">
        <v>2679</v>
      </c>
      <c r="E51" s="170">
        <v>43909</v>
      </c>
      <c r="F51" s="170">
        <v>44165</v>
      </c>
      <c r="G51" s="153">
        <f t="shared" ref="G51:G107" si="3">IF(AND(E51&lt;&gt;"",F51&lt;&gt;""),((F51-E51)/30),"")</f>
        <v>8.5333333333333332</v>
      </c>
      <c r="H51" s="115" t="s">
        <v>2692</v>
      </c>
      <c r="I51" s="110" t="s">
        <v>220</v>
      </c>
      <c r="J51" s="110" t="s">
        <v>511</v>
      </c>
      <c r="K51" s="116">
        <v>4159012317</v>
      </c>
      <c r="L51" s="111" t="s">
        <v>1148</v>
      </c>
      <c r="M51" s="112">
        <v>1</v>
      </c>
      <c r="N51" s="111" t="s">
        <v>2634</v>
      </c>
      <c r="O51" s="111" t="s">
        <v>1148</v>
      </c>
      <c r="P51" s="78"/>
    </row>
    <row r="52" spans="1:16" s="7" customFormat="1" ht="24.75" customHeight="1" outlineLevel="1" x14ac:dyDescent="0.25">
      <c r="A52" s="137">
        <v>5</v>
      </c>
      <c r="B52" s="115" t="s">
        <v>2676</v>
      </c>
      <c r="C52" s="109" t="s">
        <v>31</v>
      </c>
      <c r="D52" s="114" t="s">
        <v>2679</v>
      </c>
      <c r="E52" s="170">
        <v>43909</v>
      </c>
      <c r="F52" s="170">
        <v>44165</v>
      </c>
      <c r="G52" s="153">
        <f t="shared" si="3"/>
        <v>8.5333333333333332</v>
      </c>
      <c r="H52" s="115" t="s">
        <v>2692</v>
      </c>
      <c r="I52" s="110" t="s">
        <v>220</v>
      </c>
      <c r="J52" s="110" t="s">
        <v>505</v>
      </c>
      <c r="K52" s="116">
        <v>4159012317</v>
      </c>
      <c r="L52" s="111" t="s">
        <v>1148</v>
      </c>
      <c r="M52" s="112">
        <v>1</v>
      </c>
      <c r="N52" s="111" t="s">
        <v>2634</v>
      </c>
      <c r="O52" s="111" t="s">
        <v>1148</v>
      </c>
      <c r="P52" s="79"/>
    </row>
    <row r="53" spans="1:16" s="7" customFormat="1" ht="24.75" customHeight="1" outlineLevel="1" x14ac:dyDescent="0.25">
      <c r="A53" s="137">
        <v>6</v>
      </c>
      <c r="B53" s="115" t="s">
        <v>2677</v>
      </c>
      <c r="C53" s="109" t="s">
        <v>32</v>
      </c>
      <c r="D53" s="114" t="s">
        <v>2680</v>
      </c>
      <c r="E53" s="114" t="s">
        <v>2681</v>
      </c>
      <c r="F53" s="114" t="s">
        <v>2682</v>
      </c>
      <c r="G53" s="153">
        <f t="shared" si="3"/>
        <v>10</v>
      </c>
      <c r="H53" s="115" t="s">
        <v>2693</v>
      </c>
      <c r="I53" s="110" t="s">
        <v>711</v>
      </c>
      <c r="J53" s="110" t="s">
        <v>713</v>
      </c>
      <c r="K53" s="113">
        <v>200523758</v>
      </c>
      <c r="L53" s="111" t="s">
        <v>1148</v>
      </c>
      <c r="M53" s="112">
        <v>1</v>
      </c>
      <c r="N53" s="111" t="s">
        <v>27</v>
      </c>
      <c r="O53" s="111" t="s">
        <v>26</v>
      </c>
      <c r="P53" s="79"/>
    </row>
    <row r="54" spans="1:16" s="7" customFormat="1" ht="24.75" customHeight="1" outlineLevel="1" x14ac:dyDescent="0.25">
      <c r="A54" s="137">
        <v>7</v>
      </c>
      <c r="B54" s="115" t="s">
        <v>2677</v>
      </c>
      <c r="C54" s="109" t="s">
        <v>32</v>
      </c>
      <c r="D54" s="114" t="s">
        <v>2683</v>
      </c>
      <c r="E54" s="114" t="s">
        <v>2684</v>
      </c>
      <c r="F54" s="114" t="s">
        <v>2685</v>
      </c>
      <c r="G54" s="153">
        <f t="shared" si="3"/>
        <v>6.9333333333333336</v>
      </c>
      <c r="H54" s="115" t="s">
        <v>2693</v>
      </c>
      <c r="I54" s="110" t="s">
        <v>711</v>
      </c>
      <c r="J54" s="110" t="s">
        <v>713</v>
      </c>
      <c r="K54" s="113">
        <v>150325000</v>
      </c>
      <c r="L54" s="111" t="s">
        <v>1148</v>
      </c>
      <c r="M54" s="112">
        <v>1</v>
      </c>
      <c r="N54" s="111" t="s">
        <v>27</v>
      </c>
      <c r="O54" s="111" t="s">
        <v>26</v>
      </c>
      <c r="P54" s="79"/>
    </row>
    <row r="55" spans="1:16" s="7" customFormat="1" ht="24.75" customHeight="1" outlineLevel="1" x14ac:dyDescent="0.25">
      <c r="A55" s="137">
        <v>8</v>
      </c>
      <c r="B55" s="115" t="s">
        <v>2678</v>
      </c>
      <c r="C55" s="109" t="s">
        <v>32</v>
      </c>
      <c r="D55" s="114" t="s">
        <v>2686</v>
      </c>
      <c r="E55" s="114" t="s">
        <v>2687</v>
      </c>
      <c r="F55" s="114" t="s">
        <v>2688</v>
      </c>
      <c r="G55" s="153">
        <f t="shared" si="3"/>
        <v>9.8666666666666671</v>
      </c>
      <c r="H55" s="115" t="s">
        <v>2694</v>
      </c>
      <c r="I55" s="110" t="s">
        <v>711</v>
      </c>
      <c r="J55" s="110" t="s">
        <v>713</v>
      </c>
      <c r="K55" s="116">
        <v>180000000</v>
      </c>
      <c r="L55" s="111" t="s">
        <v>1148</v>
      </c>
      <c r="M55" s="112">
        <v>1</v>
      </c>
      <c r="N55" s="111" t="s">
        <v>27</v>
      </c>
      <c r="O55" s="111" t="s">
        <v>26</v>
      </c>
      <c r="P55" s="79"/>
    </row>
    <row r="56" spans="1:16" s="7" customFormat="1" ht="24.75" customHeight="1" outlineLevel="1" x14ac:dyDescent="0.25">
      <c r="A56" s="137">
        <v>9</v>
      </c>
      <c r="B56" s="115" t="s">
        <v>2678</v>
      </c>
      <c r="C56" s="109" t="s">
        <v>32</v>
      </c>
      <c r="D56" s="114" t="s">
        <v>2689</v>
      </c>
      <c r="E56" s="114" t="s">
        <v>2690</v>
      </c>
      <c r="F56" s="114" t="s">
        <v>2691</v>
      </c>
      <c r="G56" s="153">
        <f t="shared" si="3"/>
        <v>9.9333333333333336</v>
      </c>
      <c r="H56" s="115" t="s">
        <v>2694</v>
      </c>
      <c r="I56" s="110" t="s">
        <v>711</v>
      </c>
      <c r="J56" s="110" t="s">
        <v>713</v>
      </c>
      <c r="K56" s="116">
        <v>210000000</v>
      </c>
      <c r="L56" s="111" t="s">
        <v>1148</v>
      </c>
      <c r="M56" s="112">
        <v>1</v>
      </c>
      <c r="N56" s="111" t="s">
        <v>27</v>
      </c>
      <c r="O56" s="111" t="s">
        <v>26</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2679</v>
      </c>
      <c r="E114" s="170">
        <v>43909</v>
      </c>
      <c r="F114" s="170">
        <v>44165</v>
      </c>
      <c r="G114" s="153">
        <f>IF(AND(E114&lt;&gt;"",F114&lt;&gt;""),((F114-E114)/30),"")</f>
        <v>8.5333333333333332</v>
      </c>
      <c r="H114" s="115" t="s">
        <v>2692</v>
      </c>
      <c r="I114" s="114" t="s">
        <v>220</v>
      </c>
      <c r="J114" s="114" t="s">
        <v>488</v>
      </c>
      <c r="K114" s="116">
        <v>4159012317</v>
      </c>
      <c r="L114" s="100">
        <f>+IF(AND(K114&gt;0,O114="Ejecución"),(K114/877802)*Tabla28[[#This Row],[% participación]],IF(AND(K114&gt;0,O114&lt;&gt;"Ejecución"),"-",""))</f>
        <v>4737.9845534642209</v>
      </c>
      <c r="M114" s="117" t="s">
        <v>1148</v>
      </c>
      <c r="N114" s="166">
        <f>+IF(M118="No",1,IF(M118="Si","Ingrese %",""))</f>
        <v>1</v>
      </c>
      <c r="O114" s="155" t="s">
        <v>1150</v>
      </c>
      <c r="P114" s="78"/>
    </row>
    <row r="115" spans="1:16" s="6" customFormat="1" ht="24.75" customHeight="1" x14ac:dyDescent="0.25">
      <c r="A115" s="136">
        <v>2</v>
      </c>
      <c r="B115" s="154" t="s">
        <v>2665</v>
      </c>
      <c r="C115" s="156" t="s">
        <v>31</v>
      </c>
      <c r="D115" s="114" t="s">
        <v>2679</v>
      </c>
      <c r="E115" s="170">
        <v>43909</v>
      </c>
      <c r="F115" s="170">
        <v>44165</v>
      </c>
      <c r="G115" s="153">
        <f t="shared" ref="G115:G116" si="4">IF(AND(E115&lt;&gt;"",F115&lt;&gt;""),((F115-E115)/30),"")</f>
        <v>8.5333333333333332</v>
      </c>
      <c r="H115" s="115" t="s">
        <v>2692</v>
      </c>
      <c r="I115" s="63" t="s">
        <v>220</v>
      </c>
      <c r="J115" s="63" t="s">
        <v>496</v>
      </c>
      <c r="K115" s="116">
        <v>4159012317</v>
      </c>
      <c r="L115" s="100">
        <f>+IF(AND(K115&gt;0,O115="Ejecución"),(K115/877802)*Tabla28[[#This Row],[% participación]],IF(AND(K115&gt;0,O115&lt;&gt;"Ejecución"),"-",""))</f>
        <v>4737.9845534642209</v>
      </c>
      <c r="M115" s="65" t="s">
        <v>1148</v>
      </c>
      <c r="N115" s="166">
        <f>+IF(M118="No",1,IF(M118="Si","Ingrese %",""))</f>
        <v>1</v>
      </c>
      <c r="O115" s="155" t="s">
        <v>1150</v>
      </c>
      <c r="P115" s="78"/>
    </row>
    <row r="116" spans="1:16" s="6" customFormat="1" ht="24.75" customHeight="1" x14ac:dyDescent="0.25">
      <c r="A116" s="136">
        <v>3</v>
      </c>
      <c r="B116" s="154" t="s">
        <v>2665</v>
      </c>
      <c r="C116" s="156" t="s">
        <v>31</v>
      </c>
      <c r="D116" s="114" t="s">
        <v>2679</v>
      </c>
      <c r="E116" s="170">
        <v>43909</v>
      </c>
      <c r="F116" s="170">
        <v>44165</v>
      </c>
      <c r="G116" s="153">
        <f t="shared" si="4"/>
        <v>8.5333333333333332</v>
      </c>
      <c r="H116" s="115" t="s">
        <v>2692</v>
      </c>
      <c r="I116" s="63" t="s">
        <v>220</v>
      </c>
      <c r="J116" s="63" t="s">
        <v>500</v>
      </c>
      <c r="K116" s="116">
        <v>4159012317</v>
      </c>
      <c r="L116" s="100">
        <f>+IF(AND(K116&gt;0,O116="Ejecución"),(K116/877802)*Tabla28[[#This Row],[% participación]],IF(AND(K116&gt;0,O116&lt;&gt;"Ejecución"),"-",""))</f>
        <v>4737.9845534642209</v>
      </c>
      <c r="M116" s="65" t="s">
        <v>1148</v>
      </c>
      <c r="N116" s="166">
        <f>+IF(M118="No",1,IF(M118="Si","Ingrese %",""))</f>
        <v>1</v>
      </c>
      <c r="O116" s="155" t="s">
        <v>1150</v>
      </c>
      <c r="P116" s="78"/>
    </row>
    <row r="117" spans="1:16" s="6" customFormat="1" ht="24.75" customHeight="1" outlineLevel="1" x14ac:dyDescent="0.25">
      <c r="A117" s="136">
        <v>4</v>
      </c>
      <c r="B117" s="154" t="s">
        <v>2665</v>
      </c>
      <c r="C117" s="156" t="s">
        <v>31</v>
      </c>
      <c r="D117" s="114" t="s">
        <v>2679</v>
      </c>
      <c r="E117" s="170">
        <v>43909</v>
      </c>
      <c r="F117" s="170">
        <v>44165</v>
      </c>
      <c r="G117" s="153">
        <f t="shared" ref="G117:G159" si="5">IF(AND(E117&lt;&gt;"",F117&lt;&gt;""),((F117-E117)/30),"")</f>
        <v>8.5333333333333332</v>
      </c>
      <c r="H117" s="115" t="s">
        <v>2692</v>
      </c>
      <c r="I117" s="63" t="s">
        <v>220</v>
      </c>
      <c r="J117" s="63" t="s">
        <v>505</v>
      </c>
      <c r="K117" s="116">
        <v>4159012317</v>
      </c>
      <c r="L117" s="100">
        <f>+IF(AND(K117&gt;0,O117="Ejecución"),(K117/877802)*Tabla28[[#This Row],[% participación]],IF(AND(K117&gt;0,O117&lt;&gt;"Ejecución"),"-",""))</f>
        <v>4737.9845534642209</v>
      </c>
      <c r="M117" s="65" t="s">
        <v>1148</v>
      </c>
      <c r="N117" s="166">
        <f>+IF(M118="No",1,IF(M118="Si","Ingrese %",""))</f>
        <v>1</v>
      </c>
      <c r="O117" s="155" t="s">
        <v>1150</v>
      </c>
      <c r="P117" s="78"/>
    </row>
    <row r="118" spans="1:16" s="7" customFormat="1" ht="24.75" customHeight="1" outlineLevel="1" x14ac:dyDescent="0.25">
      <c r="A118" s="137">
        <v>5</v>
      </c>
      <c r="B118" s="154" t="s">
        <v>2665</v>
      </c>
      <c r="C118" s="156" t="s">
        <v>31</v>
      </c>
      <c r="D118" s="114" t="s">
        <v>2679</v>
      </c>
      <c r="E118" s="170">
        <v>43909</v>
      </c>
      <c r="F118" s="170">
        <v>44165</v>
      </c>
      <c r="G118" s="153">
        <f t="shared" si="5"/>
        <v>8.5333333333333332</v>
      </c>
      <c r="H118" s="115" t="s">
        <v>2692</v>
      </c>
      <c r="I118" s="63" t="s">
        <v>220</v>
      </c>
      <c r="J118" s="63" t="s">
        <v>511</v>
      </c>
      <c r="K118" s="116">
        <v>4159012317</v>
      </c>
      <c r="L118" s="100">
        <f>+IF(AND(K118&gt;0,O118="Ejecución"),(K118/877802)*Tabla28[[#This Row],[% participación]],IF(AND(K118&gt;0,O118&lt;&gt;"Ejecución"),"-",""))</f>
        <v>4737.9845534642209</v>
      </c>
      <c r="M118" s="65" t="s">
        <v>1148</v>
      </c>
      <c r="N118" s="166">
        <f t="shared" ref="N118:N160" si="6">+IF(M118="No",1,IF(M118="Si","Ingrese %",""))</f>
        <v>1</v>
      </c>
      <c r="O118" s="155" t="s">
        <v>1150</v>
      </c>
      <c r="P118" s="79"/>
    </row>
    <row r="119" spans="1:16" s="7" customFormat="1" ht="24.75" customHeight="1" outlineLevel="1" x14ac:dyDescent="0.25">
      <c r="A119" s="137">
        <v>6</v>
      </c>
      <c r="B119" s="154" t="s">
        <v>2665</v>
      </c>
      <c r="C119" s="156" t="s">
        <v>31</v>
      </c>
      <c r="D119" s="63" t="s">
        <v>2696</v>
      </c>
      <c r="E119" s="138">
        <v>44179</v>
      </c>
      <c r="F119" s="138">
        <v>44773</v>
      </c>
      <c r="G119" s="153">
        <f t="shared" si="5"/>
        <v>19.8</v>
      </c>
      <c r="H119" s="64" t="s">
        <v>2695</v>
      </c>
      <c r="I119" s="63" t="s">
        <v>459</v>
      </c>
      <c r="J119" s="63" t="s">
        <v>466</v>
      </c>
      <c r="K119" s="68">
        <v>8292058434</v>
      </c>
      <c r="L119" s="100">
        <f>+IF(AND(K119&gt;0,O119="Ejecución"),(K119/877802)*Tabla28[[#This Row],[% participación]],IF(AND(K119&gt;0,O119&lt;&gt;"Ejecución"),"-",""))</f>
        <v>9446.3881763769059</v>
      </c>
      <c r="M119" s="65" t="s">
        <v>1148</v>
      </c>
      <c r="N119" s="166">
        <f t="shared" si="6"/>
        <v>1</v>
      </c>
      <c r="O119" s="155" t="s">
        <v>1150</v>
      </c>
      <c r="P119" s="79"/>
    </row>
    <row r="120" spans="1:16" s="7" customFormat="1" ht="24.75" customHeight="1" outlineLevel="1" x14ac:dyDescent="0.25">
      <c r="A120" s="137">
        <v>7</v>
      </c>
      <c r="B120" s="154" t="s">
        <v>2665</v>
      </c>
      <c r="C120" s="156" t="s">
        <v>31</v>
      </c>
      <c r="D120" s="114" t="s">
        <v>2696</v>
      </c>
      <c r="E120" s="138">
        <v>44179</v>
      </c>
      <c r="F120" s="138">
        <v>44773</v>
      </c>
      <c r="G120" s="153">
        <f t="shared" si="5"/>
        <v>19.8</v>
      </c>
      <c r="H120" s="115" t="s">
        <v>2695</v>
      </c>
      <c r="I120" s="114" t="s">
        <v>459</v>
      </c>
      <c r="J120" s="63" t="s">
        <v>481</v>
      </c>
      <c r="K120" s="68">
        <v>8292058434</v>
      </c>
      <c r="L120" s="100">
        <f>+IF(AND(K120&gt;0,O120="Ejecución"),(K120/877802)*Tabla28[[#This Row],[% participación]],IF(AND(K120&gt;0,O120&lt;&gt;"Ejecución"),"-",""))</f>
        <v>9446.3881763769059</v>
      </c>
      <c r="M120" s="65" t="s">
        <v>1148</v>
      </c>
      <c r="N120" s="166">
        <f t="shared" si="6"/>
        <v>1</v>
      </c>
      <c r="O120" s="155" t="s">
        <v>1150</v>
      </c>
      <c r="P120" s="79"/>
    </row>
    <row r="121" spans="1:16" s="7" customFormat="1" ht="24.75" customHeight="1" outlineLevel="1" x14ac:dyDescent="0.25">
      <c r="A121" s="137">
        <v>8</v>
      </c>
      <c r="B121" s="154" t="s">
        <v>2665</v>
      </c>
      <c r="C121" s="156" t="s">
        <v>31</v>
      </c>
      <c r="D121" s="114" t="s">
        <v>2696</v>
      </c>
      <c r="E121" s="138">
        <v>44179</v>
      </c>
      <c r="F121" s="138">
        <v>44773</v>
      </c>
      <c r="G121" s="153">
        <f t="shared" si="5"/>
        <v>19.8</v>
      </c>
      <c r="H121" s="115" t="s">
        <v>2695</v>
      </c>
      <c r="I121" s="114" t="s">
        <v>459</v>
      </c>
      <c r="J121" s="63" t="s">
        <v>476</v>
      </c>
      <c r="K121" s="68">
        <v>8292058434</v>
      </c>
      <c r="L121" s="100">
        <f>+IF(AND(K121&gt;0,O121="Ejecución"),(K121/877802)*Tabla28[[#This Row],[% participación]],IF(AND(K121&gt;0,O121&lt;&gt;"Ejecución"),"-",""))</f>
        <v>9446.3881763769059</v>
      </c>
      <c r="M121" s="65" t="s">
        <v>1148</v>
      </c>
      <c r="N121" s="166">
        <f t="shared" si="6"/>
        <v>1</v>
      </c>
      <c r="O121" s="155" t="s">
        <v>1150</v>
      </c>
      <c r="P121" s="79"/>
    </row>
    <row r="122" spans="1:16" s="7" customFormat="1" ht="24.75" customHeight="1" outlineLevel="1" x14ac:dyDescent="0.25">
      <c r="A122" s="137">
        <v>9</v>
      </c>
      <c r="B122" s="154" t="s">
        <v>2665</v>
      </c>
      <c r="C122" s="156" t="s">
        <v>31</v>
      </c>
      <c r="D122" s="114" t="s">
        <v>2696</v>
      </c>
      <c r="E122" s="138">
        <v>44179</v>
      </c>
      <c r="F122" s="138">
        <v>44773</v>
      </c>
      <c r="G122" s="153">
        <f t="shared" si="5"/>
        <v>19.8</v>
      </c>
      <c r="H122" s="115" t="s">
        <v>2695</v>
      </c>
      <c r="I122" s="63" t="s">
        <v>459</v>
      </c>
      <c r="J122" s="63" t="s">
        <v>461</v>
      </c>
      <c r="K122" s="68">
        <v>8292058434</v>
      </c>
      <c r="L122" s="100">
        <f>+IF(AND(K122&gt;0,O122="Ejecución"),(K122/877802)*Tabla28[[#This Row],[% participación]],IF(AND(K122&gt;0,O122&lt;&gt;"Ejecución"),"-",""))</f>
        <v>9446.3881763769059</v>
      </c>
      <c r="M122" s="65" t="s">
        <v>1148</v>
      </c>
      <c r="N122" s="166">
        <f t="shared" si="6"/>
        <v>1</v>
      </c>
      <c r="O122" s="155" t="s">
        <v>1150</v>
      </c>
      <c r="P122" s="79"/>
    </row>
    <row r="123" spans="1:16" s="7" customFormat="1" ht="24.75" customHeight="1" outlineLevel="1" x14ac:dyDescent="0.25">
      <c r="A123" s="137">
        <v>10</v>
      </c>
      <c r="B123" s="154" t="s">
        <v>2665</v>
      </c>
      <c r="C123" s="156" t="s">
        <v>31</v>
      </c>
      <c r="D123" s="114" t="s">
        <v>2697</v>
      </c>
      <c r="E123" s="138">
        <v>44181</v>
      </c>
      <c r="F123" s="138">
        <v>44773</v>
      </c>
      <c r="G123" s="153">
        <f t="shared" si="5"/>
        <v>19.733333333333334</v>
      </c>
      <c r="H123" s="64" t="s">
        <v>2698</v>
      </c>
      <c r="I123" s="63" t="s">
        <v>711</v>
      </c>
      <c r="J123" s="63" t="s">
        <v>729</v>
      </c>
      <c r="K123" s="68">
        <v>4183838386</v>
      </c>
      <c r="L123" s="100">
        <f>+IF(AND(K123&gt;0,O123="Ejecución"),(K123/877802)*Tabla28[[#This Row],[% participación]],IF(AND(K123&gt;0,O123&lt;&gt;"Ejecución"),"-",""))</f>
        <v>4766.2666364396528</v>
      </c>
      <c r="M123" s="65" t="s">
        <v>1148</v>
      </c>
      <c r="N123" s="166">
        <f t="shared" si="6"/>
        <v>1</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60"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7"/>
      <c r="Z178" s="158" t="str">
        <f>IF(Y178&gt;0,SUM(E180+Y178),"")</f>
        <v/>
      </c>
      <c r="AA178" s="19"/>
      <c r="AB178" s="19"/>
    </row>
    <row r="179" spans="1:28" ht="23.25" x14ac:dyDescent="0.25">
      <c r="A179" s="9"/>
      <c r="B179" s="215" t="s">
        <v>2669</v>
      </c>
      <c r="C179" s="215"/>
      <c r="D179" s="215"/>
      <c r="E179" s="164">
        <v>0.02</v>
      </c>
      <c r="F179" s="163">
        <v>0.01</v>
      </c>
      <c r="G179" s="158">
        <f>IF(F179&gt;0,SUM(E179+F179),"")</f>
        <v>0.03</v>
      </c>
      <c r="H179" s="5"/>
      <c r="I179" s="215" t="s">
        <v>2671</v>
      </c>
      <c r="J179" s="215"/>
      <c r="K179" s="215"/>
      <c r="L179" s="215"/>
      <c r="M179" s="165">
        <v>0.02</v>
      </c>
      <c r="O179" s="8"/>
      <c r="Q179" s="19"/>
      <c r="R179" s="152">
        <f>IF(M179&gt;0,SUM(L179+M179),"")</f>
        <v>0.02</v>
      </c>
      <c r="T179" s="19"/>
      <c r="U179" s="171" t="s">
        <v>1166</v>
      </c>
      <c r="V179" s="171"/>
      <c r="W179" s="171"/>
      <c r="X179" s="24">
        <v>0.02</v>
      </c>
      <c r="Y179" s="157"/>
      <c r="Z179" s="158" t="str">
        <f>IF(Y179&gt;0,SUM(E181+Y179),"")</f>
        <v/>
      </c>
      <c r="AA179" s="19"/>
      <c r="AB179" s="19"/>
    </row>
    <row r="180" spans="1:28" ht="23.25" hidden="1" x14ac:dyDescent="0.25">
      <c r="A180" s="9"/>
      <c r="B180" s="195"/>
      <c r="C180" s="195"/>
      <c r="D180" s="195"/>
      <c r="E180" s="162"/>
      <c r="H180" s="5"/>
      <c r="I180" s="195"/>
      <c r="J180" s="195"/>
      <c r="K180" s="195"/>
      <c r="L180" s="195"/>
      <c r="M180" s="5"/>
      <c r="O180" s="8"/>
      <c r="Q180" s="19"/>
      <c r="R180" s="152" t="str">
        <f>IF(S180&gt;0,SUM(L180+S180),"")</f>
        <v/>
      </c>
      <c r="S180" s="157"/>
      <c r="T180" s="19"/>
      <c r="U180" s="171" t="s">
        <v>1167</v>
      </c>
      <c r="V180" s="171"/>
      <c r="W180" s="171"/>
      <c r="X180" s="24">
        <v>0.03</v>
      </c>
      <c r="Y180" s="157"/>
      <c r="Z180" s="158" t="str">
        <f>IF(Y180&gt;0,SUM(E182+Y180),"")</f>
        <v/>
      </c>
      <c r="AA180" s="19"/>
      <c r="AB180" s="19"/>
    </row>
    <row r="181" spans="1:28" ht="23.25" hidden="1" x14ac:dyDescent="0.25">
      <c r="A181" s="9"/>
      <c r="B181" s="195"/>
      <c r="C181" s="195"/>
      <c r="D181" s="195"/>
      <c r="E181" s="162"/>
      <c r="H181" s="5"/>
      <c r="I181" s="195"/>
      <c r="J181" s="195"/>
      <c r="K181" s="195"/>
      <c r="L181" s="19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5"/>
      <c r="C182" s="195"/>
      <c r="D182" s="195"/>
      <c r="E182" s="162"/>
      <c r="H182" s="5"/>
      <c r="I182" s="195"/>
      <c r="J182" s="195"/>
      <c r="K182" s="195"/>
      <c r="L182" s="19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61789167.359999999</v>
      </c>
      <c r="F185" s="92"/>
      <c r="G185" s="93"/>
      <c r="H185" s="88"/>
      <c r="I185" s="90" t="s">
        <v>2627</v>
      </c>
      <c r="J185" s="159">
        <f>+SUM(M179:M183)</f>
        <v>0.02</v>
      </c>
      <c r="K185" s="196" t="s">
        <v>2628</v>
      </c>
      <c r="L185" s="196"/>
      <c r="M185" s="94">
        <f>+J185*(SUM(K20:K35))</f>
        <v>41192778.240000002</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0" t="s">
        <v>2636</v>
      </c>
      <c r="C192" s="230"/>
      <c r="E192" s="5" t="s">
        <v>20</v>
      </c>
      <c r="H192" s="26" t="s">
        <v>24</v>
      </c>
      <c r="J192" s="5" t="s">
        <v>2637</v>
      </c>
      <c r="K192" s="5"/>
      <c r="M192" s="5"/>
      <c r="N192" s="5"/>
      <c r="O192" s="8"/>
      <c r="Q192" s="147"/>
      <c r="R192" s="148"/>
      <c r="S192" s="148"/>
      <c r="T192" s="147"/>
    </row>
    <row r="193" spans="1:18" x14ac:dyDescent="0.25">
      <c r="A193" s="9"/>
      <c r="C193" s="118">
        <v>42895</v>
      </c>
      <c r="D193" s="5"/>
      <c r="E193" s="119">
        <v>1130</v>
      </c>
      <c r="F193" s="5"/>
      <c r="G193" s="5"/>
      <c r="H193" s="140" t="s">
        <v>2699</v>
      </c>
      <c r="J193" s="5"/>
      <c r="K193" s="120">
        <v>43909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2700</v>
      </c>
      <c r="J211" s="27" t="s">
        <v>2622</v>
      </c>
      <c r="K211" s="141" t="s">
        <v>2702</v>
      </c>
      <c r="L211" s="21"/>
      <c r="M211" s="21"/>
      <c r="N211" s="21"/>
      <c r="O211" s="8"/>
    </row>
    <row r="212" spans="1:15" x14ac:dyDescent="0.25">
      <c r="A212" s="9"/>
      <c r="B212" s="27" t="s">
        <v>2619</v>
      </c>
      <c r="C212" s="140" t="s">
        <v>2699</v>
      </c>
      <c r="D212" s="21"/>
      <c r="G212" s="27" t="s">
        <v>2621</v>
      </c>
      <c r="H212" s="141" t="s">
        <v>2701</v>
      </c>
      <c r="J212" s="27" t="s">
        <v>2623</v>
      </c>
      <c r="K212" s="140"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documentManagement/types"/>
    <ds:schemaRef ds:uri="4fb10211-09fb-4e80-9f0b-184718d5d98c"/>
    <ds:schemaRef ds:uri="a65d333d-5b59-4810-bc94-b80d9325abbc"/>
    <ds:schemaRef ds:uri="http://purl.org/dc/dcmitype/"/>
    <ds:schemaRef ds:uri="http://purl.org/dc/elements/1.1/"/>
    <ds:schemaRef ds:uri="http://www.w3.org/XML/1998/namespace"/>
    <ds:schemaRef ds:uri="http://schemas.openxmlformats.org/package/2006/metadata/core-properti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2020-12-29T02:28:24Z</cp:lastPrinted>
  <dcterms:created xsi:type="dcterms:W3CDTF">2020-10-14T21:57:42Z</dcterms:created>
  <dcterms:modified xsi:type="dcterms:W3CDTF">2020-12-29T02:47:28Z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