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CBF\CONTRATACION\2014\SEGUNDA LINEA 2014\"/>
    </mc:Choice>
  </mc:AlternateContent>
  <bookViews>
    <workbookView xWindow="0" yWindow="0" windowWidth="25200" windowHeight="11985" tabRatio="912"/>
  </bookViews>
  <sheets>
    <sheet name="RESUMEN COSTOS 10" sheetId="11" r:id="rId1"/>
    <sheet name="RESUMEN COSTOS MENSUALES" sheetId="5" r:id="rId2"/>
    <sheet name="DOTACIÓN INICIAL" sheetId="10" r:id="rId3"/>
    <sheet name="FASE II - DETALLADO" sheetId="1" r:id="rId4"/>
    <sheet name="FASE II -DETALLE FORMULA" sheetId="2" r:id="rId5"/>
    <sheet name="FASE III" sheetId="7" r:id="rId6"/>
  </sheets>
  <definedNames>
    <definedName name="_xlnm.Print_Area" localSheetId="2">'DOTACIÓN INICIAL'!$A$1:$E$74</definedName>
    <definedName name="_xlnm.Print_Area" localSheetId="3">'FASE II - DETALLADO'!$A$1:$E$97</definedName>
    <definedName name="_xlnm.Print_Area" localSheetId="1">'RESUMEN COSTOS MENSUALES'!$A$1:$F$26</definedName>
    <definedName name="_xlnm.Print_Titles" localSheetId="2">'DOTACIÓN INICIAL'!$1:$8</definedName>
    <definedName name="_xlnm.Print_Titles" localSheetId="3">'FASE II - DETALLADO'!$1:$4</definedName>
  </definedNames>
  <calcPr calcId="152511"/>
</workbook>
</file>

<file path=xl/calcChain.xml><?xml version="1.0" encoding="utf-8"?>
<calcChain xmlns="http://schemas.openxmlformats.org/spreadsheetml/2006/main">
  <c r="N7" i="11" l="1"/>
  <c r="M7" i="11"/>
  <c r="G15" i="2" l="1"/>
  <c r="G16" i="2"/>
  <c r="G14" i="2"/>
  <c r="G12" i="2"/>
  <c r="G11" i="2"/>
  <c r="G13" i="2"/>
  <c r="E12" i="2"/>
  <c r="E13" i="2"/>
  <c r="E14" i="2"/>
  <c r="E15" i="2"/>
  <c r="E11" i="2"/>
  <c r="E94" i="1"/>
  <c r="C94" i="1"/>
  <c r="E90" i="1"/>
  <c r="C90" i="1"/>
  <c r="E89" i="1"/>
  <c r="E88" i="1"/>
  <c r="C89" i="1"/>
  <c r="C88" i="1"/>
  <c r="C81" i="1"/>
  <c r="C80" i="1"/>
  <c r="C79" i="1"/>
  <c r="C78" i="1"/>
  <c r="C77" i="1"/>
  <c r="E17" i="1"/>
  <c r="E21" i="1"/>
  <c r="E27" i="1"/>
  <c r="E45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31" i="1"/>
  <c r="E53" i="1"/>
  <c r="E56" i="1"/>
  <c r="E60" i="1"/>
  <c r="E61" i="1"/>
  <c r="E68" i="1"/>
  <c r="E69" i="1"/>
  <c r="E70" i="1"/>
  <c r="E71" i="1"/>
  <c r="E72" i="1"/>
  <c r="E67" i="1"/>
  <c r="C72" i="1"/>
  <c r="C71" i="1"/>
  <c r="C70" i="1"/>
  <c r="C69" i="1"/>
  <c r="C68" i="1"/>
  <c r="C67" i="1"/>
  <c r="C61" i="1"/>
  <c r="C60" i="1"/>
  <c r="E55" i="1"/>
  <c r="E54" i="1"/>
  <c r="E52" i="1"/>
  <c r="E51" i="1"/>
  <c r="C51" i="1"/>
  <c r="C52" i="1"/>
  <c r="C53" i="1"/>
  <c r="C54" i="1"/>
  <c r="C55" i="1"/>
  <c r="C56" i="1"/>
  <c r="E50" i="1"/>
  <c r="C50" i="1"/>
  <c r="E47" i="1"/>
  <c r="E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E26" i="1"/>
  <c r="E25" i="1"/>
  <c r="C27" i="1"/>
  <c r="C26" i="1"/>
  <c r="C25" i="1"/>
  <c r="E22" i="1"/>
  <c r="E12" i="1"/>
  <c r="E13" i="1"/>
  <c r="E14" i="1"/>
  <c r="E15" i="1"/>
  <c r="E16" i="1"/>
  <c r="E18" i="1"/>
  <c r="E19" i="1"/>
  <c r="E20" i="1"/>
  <c r="E11" i="1"/>
  <c r="C21" i="1"/>
  <c r="C20" i="1"/>
  <c r="C19" i="1"/>
  <c r="C18" i="1"/>
  <c r="C17" i="1"/>
  <c r="C16" i="1"/>
  <c r="C15" i="1"/>
  <c r="C14" i="1"/>
  <c r="C13" i="1"/>
  <c r="C12" i="1"/>
  <c r="C11" i="1"/>
  <c r="E73" i="10"/>
  <c r="C70" i="10"/>
  <c r="E70" i="10" s="1"/>
  <c r="C69" i="10"/>
  <c r="E69" i="10" s="1"/>
  <c r="C68" i="10"/>
  <c r="C67" i="10"/>
  <c r="C66" i="10"/>
  <c r="E66" i="10" s="1"/>
  <c r="C65" i="10"/>
  <c r="E65" i="10" s="1"/>
  <c r="C64" i="10"/>
  <c r="C63" i="10"/>
  <c r="C62" i="10"/>
  <c r="E62" i="10" s="1"/>
  <c r="C61" i="10"/>
  <c r="E61" i="10" s="1"/>
  <c r="C60" i="10"/>
  <c r="C59" i="10"/>
  <c r="E59" i="10"/>
  <c r="E60" i="10"/>
  <c r="E63" i="10"/>
  <c r="E64" i="10"/>
  <c r="E67" i="10"/>
  <c r="E68" i="10"/>
  <c r="E58" i="10"/>
  <c r="C58" i="10"/>
  <c r="E49" i="10"/>
  <c r="E50" i="10"/>
  <c r="E51" i="10"/>
  <c r="E52" i="10"/>
  <c r="E53" i="10"/>
  <c r="E54" i="10"/>
  <c r="E48" i="10"/>
  <c r="C54" i="10"/>
  <c r="C53" i="10"/>
  <c r="C52" i="10"/>
  <c r="C51" i="10"/>
  <c r="C50" i="10"/>
  <c r="C49" i="10"/>
  <c r="C48" i="10"/>
  <c r="E44" i="10"/>
  <c r="E43" i="10"/>
  <c r="E42" i="10"/>
  <c r="C44" i="10"/>
  <c r="C43" i="10"/>
  <c r="C42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E25" i="10"/>
  <c r="C25" i="10"/>
  <c r="E11" i="10"/>
  <c r="E12" i="10"/>
  <c r="E13" i="10"/>
  <c r="E14" i="10"/>
  <c r="E15" i="10"/>
  <c r="E16" i="10"/>
  <c r="E17" i="10"/>
  <c r="E18" i="10"/>
  <c r="E19" i="10"/>
  <c r="E20" i="10"/>
  <c r="E21" i="10"/>
  <c r="E10" i="10"/>
  <c r="C11" i="10"/>
  <c r="C12" i="10"/>
  <c r="C13" i="10"/>
  <c r="C14" i="10"/>
  <c r="C15" i="10"/>
  <c r="C16" i="10"/>
  <c r="C17" i="10"/>
  <c r="C18" i="10"/>
  <c r="C19" i="10"/>
  <c r="C20" i="10"/>
  <c r="C21" i="10"/>
  <c r="C10" i="10"/>
  <c r="B60" i="1"/>
  <c r="D12" i="5" l="1"/>
  <c r="D19" i="1" l="1"/>
  <c r="D90" i="1"/>
  <c r="E91" i="1" s="1"/>
  <c r="D17" i="5" s="1"/>
  <c r="E71" i="10" l="1"/>
  <c r="E55" i="10"/>
  <c r="E45" i="10"/>
  <c r="E39" i="10"/>
  <c r="E22" i="10"/>
  <c r="D6" i="5" l="1"/>
  <c r="E78" i="1"/>
  <c r="E79" i="1"/>
  <c r="E80" i="1"/>
  <c r="E81" i="1"/>
  <c r="E77" i="1"/>
  <c r="D7" i="5" l="1"/>
  <c r="E82" i="1" l="1"/>
  <c r="H17" i="2"/>
  <c r="C7" i="11"/>
  <c r="G7" i="11" s="1"/>
  <c r="O9" i="7"/>
  <c r="P9" i="7" s="1"/>
  <c r="M13" i="7"/>
  <c r="L13" i="7"/>
  <c r="K13" i="7"/>
  <c r="J13" i="7"/>
  <c r="I13" i="7"/>
  <c r="H13" i="7"/>
  <c r="G13" i="7"/>
  <c r="F13" i="7"/>
  <c r="E13" i="7"/>
  <c r="D13" i="7"/>
  <c r="C13" i="7"/>
  <c r="B13" i="7"/>
  <c r="A13" i="7"/>
  <c r="M12" i="7"/>
  <c r="M11" i="7"/>
  <c r="M10" i="7"/>
  <c r="M9" i="7"/>
  <c r="M8" i="7"/>
  <c r="M7" i="7"/>
  <c r="Q17" i="7" l="1"/>
  <c r="D25" i="5" s="1"/>
  <c r="E83" i="1"/>
  <c r="I18" i="2"/>
  <c r="O8" i="7"/>
  <c r="P8" i="7" s="1"/>
  <c r="P17" i="7" l="1"/>
  <c r="C25" i="5" s="1"/>
  <c r="E25" i="5" s="1"/>
  <c r="P10" i="7"/>
  <c r="E84" i="1"/>
  <c r="J19" i="2"/>
  <c r="E85" i="1" s="1"/>
  <c r="D16" i="5" s="1"/>
  <c r="R17" i="7" l="1"/>
  <c r="E7" i="11"/>
  <c r="I7" i="11" s="1"/>
  <c r="E28" i="1" l="1"/>
  <c r="D11" i="5" s="1"/>
  <c r="E95" i="1" l="1"/>
  <c r="D20" i="5" s="1"/>
  <c r="E57" i="1" l="1"/>
  <c r="D13" i="5" s="1"/>
  <c r="E62" i="1"/>
  <c r="D10" i="5"/>
  <c r="E73" i="1"/>
  <c r="D15" i="5" s="1"/>
  <c r="D14" i="5" l="1"/>
  <c r="E97" i="1" l="1"/>
  <c r="D18" i="5"/>
  <c r="D19" i="5" l="1"/>
  <c r="D21" i="5" s="1"/>
  <c r="D7" i="11" l="1"/>
  <c r="H7" i="11" l="1"/>
  <c r="J7" i="11" s="1"/>
  <c r="F7" i="11"/>
  <c r="L7" i="11"/>
</calcChain>
</file>

<file path=xl/sharedStrings.xml><?xml version="1.0" encoding="utf-8"?>
<sst xmlns="http://schemas.openxmlformats.org/spreadsheetml/2006/main" count="305" uniqueCount="214">
  <si>
    <t>Crema de manos y cuerpo (galón)</t>
  </si>
  <si>
    <t>HABITACIONES  ( inversión inicial)</t>
  </si>
  <si>
    <t>CONSULTORIO ( inversión inicial)</t>
  </si>
  <si>
    <t>DOTACIÓN EQUIPOS DE COCINA( inversión inicial)</t>
  </si>
  <si>
    <t>Servicios Públicos</t>
  </si>
  <si>
    <t>Arriendo</t>
  </si>
  <si>
    <t>Médico</t>
  </si>
  <si>
    <t>Auxiliar de servicios generales</t>
  </si>
  <si>
    <t>Manipuladora de alimentos</t>
  </si>
  <si>
    <t>Alimentación diaria</t>
  </si>
  <si>
    <t>Desayuno</t>
  </si>
  <si>
    <t>Refrigerio de la mañana</t>
  </si>
  <si>
    <t>Almuerzo</t>
  </si>
  <si>
    <t>Refrigerio de la tarde</t>
  </si>
  <si>
    <t>Cena</t>
  </si>
  <si>
    <t>Refrigerio nocturno</t>
  </si>
  <si>
    <t xml:space="preserve">Harina ( arroz) </t>
  </si>
  <si>
    <t>INVERSIÓN INICIAL</t>
  </si>
  <si>
    <t>VALOR</t>
  </si>
  <si>
    <t>COSTO MENSUAL</t>
  </si>
  <si>
    <t>Alimentación</t>
  </si>
  <si>
    <t>BOLSA(gramos)</t>
  </si>
  <si>
    <t xml:space="preserve">Leche Polvo entera </t>
  </si>
  <si>
    <t>FRASCO(cc)</t>
  </si>
  <si>
    <t>PAQUETE(gramos)</t>
  </si>
  <si>
    <t>Mezcla de Vitaminas y Minerales ( Z-BEC granulado)</t>
  </si>
  <si>
    <t>FRASCO (gramos)</t>
  </si>
  <si>
    <t>Formula F75 y F100</t>
  </si>
  <si>
    <t>COSTO TOTAL FORMULA F100 PARA 1000 cc</t>
  </si>
  <si>
    <t>F100 PARA 1000 cc</t>
  </si>
  <si>
    <t>COSTO TOTAL FORMULA F100 PARA 1300 cc</t>
  </si>
  <si>
    <t>F100 para 1300cc</t>
  </si>
  <si>
    <t>15 niños</t>
  </si>
  <si>
    <t>COSTO MES</t>
  </si>
  <si>
    <t>Formula</t>
  </si>
  <si>
    <t>MES</t>
  </si>
  <si>
    <t>SUB TOTAL FUNCIONAMIENTO MENSUAL</t>
  </si>
  <si>
    <t>Nutricionista (*)</t>
  </si>
  <si>
    <t>Vitamina A (50 tabletas)</t>
  </si>
  <si>
    <t>Diaria</t>
  </si>
  <si>
    <t>ELEMENTO</t>
  </si>
  <si>
    <t>Cunas (unidades)</t>
  </si>
  <si>
    <t>Camas (unidades)</t>
  </si>
  <si>
    <t>Colchones cuna (unidades)</t>
  </si>
  <si>
    <t>Colchones camas (unidades)</t>
  </si>
  <si>
    <t>Caucho protector colchón y de almohada (unidades)</t>
  </si>
  <si>
    <t>Almohada (unidades)</t>
  </si>
  <si>
    <t>Cobija (unidades)</t>
  </si>
  <si>
    <t>Toallas (unidades)</t>
  </si>
  <si>
    <t>Cubrelecho (unidades)</t>
  </si>
  <si>
    <t>Bañeras (unidades)</t>
  </si>
  <si>
    <t>Fonendoscopio (unidad)</t>
  </si>
  <si>
    <t>Teléfono fijo  (unidad)</t>
  </si>
  <si>
    <t>Archivador de tres cajones (unidad)</t>
  </si>
  <si>
    <t>Silla fija (unidades)</t>
  </si>
  <si>
    <t>Equipó de computo  (unidad)</t>
  </si>
  <si>
    <t>Impresora laser  (unidad)</t>
  </si>
  <si>
    <t>Escritorio  (unidad)</t>
  </si>
  <si>
    <t>Camilla para consultorio de 1.80 x55 x75 (unidad)</t>
  </si>
  <si>
    <t>DOTACIÓN INICIAL</t>
  </si>
  <si>
    <t>Nota: Caculos realizados para la atención de 15 niños y niñas</t>
  </si>
  <si>
    <t>Mesas infantiles de 4 puestos (unidad)</t>
  </si>
  <si>
    <t>Sillas infantiles para comedor (unidades)</t>
  </si>
  <si>
    <t>Sillas para adultos (unidades)</t>
  </si>
  <si>
    <t>Nevera  12 pies (unidad)</t>
  </si>
  <si>
    <t>Estufa de 4 puestos a gas o eléctrica. (unidad)</t>
  </si>
  <si>
    <t>Licuadora (unidad)</t>
  </si>
  <si>
    <t>Lavadora de 25 libras (unidad)</t>
  </si>
  <si>
    <t>Modelos de alimentos (unidad)</t>
  </si>
  <si>
    <t>Jarra de plástico dos litros de capacidad (unidades)</t>
  </si>
  <si>
    <t>Medidores de vidrio o de plástico (unidades)</t>
  </si>
  <si>
    <t>Platos plásticos (unidades)</t>
  </si>
  <si>
    <t>Vasos plásticos (unidades)</t>
  </si>
  <si>
    <t>Baldes de Plásticos (unidades)</t>
  </si>
  <si>
    <t>Juego de Cubiertos (unidades)</t>
  </si>
  <si>
    <t>Escobas (unidades)</t>
  </si>
  <si>
    <t>Traperos (unidades)</t>
  </si>
  <si>
    <t>Cepillos (unidades)</t>
  </si>
  <si>
    <t>Limpiones ( cada tres meses) (unidades)</t>
  </si>
  <si>
    <t>Shampoo galón (unidades)</t>
  </si>
  <si>
    <t>Cepillo dental por niño (unidades)</t>
  </si>
  <si>
    <t>Crema dental grande (unidades)</t>
  </si>
  <si>
    <t>Peinilla (unidades)</t>
  </si>
  <si>
    <t>Papel higiénico rollo ( dos por niño semanal) (unidades)</t>
  </si>
  <si>
    <t>Crema antipañalitis (unidades)</t>
  </si>
  <si>
    <t>Baberos lavables (unidades)</t>
  </si>
  <si>
    <t>Marcador (unidades)</t>
  </si>
  <si>
    <t>Cartulinas tamaño carta (unidades)</t>
  </si>
  <si>
    <t>Papel bond carta (resma)</t>
  </si>
  <si>
    <t>Ganchos legajadores (caja)</t>
  </si>
  <si>
    <t>Resaltador (unidades)</t>
  </si>
  <si>
    <t>Cinta pegante transparente (unidades)</t>
  </si>
  <si>
    <t>Folder celuguia (unidades)</t>
  </si>
  <si>
    <t>Pegante (unidades)</t>
  </si>
  <si>
    <t>GASTOS MENSUALES</t>
  </si>
  <si>
    <t>Vasenilla (unidades)</t>
  </si>
  <si>
    <t>Cantidades  por presentación</t>
  </si>
  <si>
    <t>Presentación</t>
  </si>
  <si>
    <t xml:space="preserve">Valor </t>
  </si>
  <si>
    <t>Cantidad en gramos</t>
  </si>
  <si>
    <t>Leche Polvo entera (900 grs)</t>
  </si>
  <si>
    <t xml:space="preserve">Harina de arroz (500 grs) </t>
  </si>
  <si>
    <t>Mezcla de Vitaminas y Minerales ( Z-BEC granulado) (300 grs)</t>
  </si>
  <si>
    <t>* Bajo prescripción médica</t>
  </si>
  <si>
    <t>FORMULA F75 y F100 (mensual)</t>
  </si>
  <si>
    <t>MULTIVITAMINICOS *</t>
  </si>
  <si>
    <t>Nota: Caculos realizados para la atención de 15 niños y niñas/día/mes</t>
  </si>
  <si>
    <t>CANTIDAD REQUERIDA</t>
  </si>
  <si>
    <t xml:space="preserve">VALOR TOTAL </t>
  </si>
  <si>
    <t xml:space="preserve">TOTAL </t>
  </si>
  <si>
    <t>TIPO 2</t>
  </si>
  <si>
    <t>FASE III</t>
  </si>
  <si>
    <t xml:space="preserve">COSTOS RACIONES ALIMENTARIAS FASE III - CENTROS DE RECUPERACIÓN NUTRICIONAL </t>
  </si>
  <si>
    <t xml:space="preserve">COSTOS DETALLADOS FASE II
CENTROS DE RECUPERACIÓN NUTRICIONAL </t>
  </si>
  <si>
    <t>Jabón cuerpo por cada niño (unidades)</t>
  </si>
  <si>
    <t>Algodón (1000 gramos)</t>
  </si>
  <si>
    <t>Detergente para uso general (5000 gr)</t>
  </si>
  <si>
    <t>Hipoclorito (3000 cc)</t>
  </si>
  <si>
    <t>Jabón de losa (250 g)</t>
  </si>
  <si>
    <t>Elementos de aseo para niños y niñas</t>
  </si>
  <si>
    <t xml:space="preserve">Elementos de aseo para el CRN </t>
  </si>
  <si>
    <t>Dotación solo una vez</t>
  </si>
  <si>
    <t>TOTAL FASE II MENSUAL</t>
  </si>
  <si>
    <t>Reposición 10% al inicio del año*</t>
  </si>
  <si>
    <t>ELEMENTOS DE ASEO PARA EL CRN ( mensual)</t>
  </si>
  <si>
    <t>Pesa bebes (unidad) capacidad: 20 -25 kilos, sensibilidad: 10 a 20 g, debe estar calibrada, calibración periódica: cada 3 años.</t>
  </si>
  <si>
    <t xml:space="preserve">Báscula (unidad) capacidad: 120 a 150 kg, sensibilidad: ideal 50 gr, máximo 100 g
debe estar calibrada, calibración Periódica: cada 3 años. </t>
  </si>
  <si>
    <t>Tallimetro (unidad), capacidad de dos (2) metros, sensibilidad 1mm, calibración: No se realiza calibración si no comprobación anual con la regla patrón
calibración Periódica Regla Patrón: cada 3 años</t>
  </si>
  <si>
    <t>Infantómetro (unidad), capacidad de 110 a 120 cm, sensibilidad 1mm, calibración: No se realiza calibración si no comprobación anual con la regla patrón, calibración Periódica Regla Patrón: cada 3 años</t>
  </si>
  <si>
    <t xml:space="preserve">Gramera (unidad) tipo mecánica o digital, capacidad máxima: hasta 1000 g o 2000 g, sensibilidad: 1 g, unidad de medida gramo, para realizar la medición debe estar calibrada, calibración periódica: Cada 4 años. </t>
  </si>
  <si>
    <t>ELEMENTOS DE ASEO PARA NIÑOS Y NIÑAS ( mensual)</t>
  </si>
  <si>
    <t xml:space="preserve">Material didáctico </t>
  </si>
  <si>
    <t>Costo Gerencia, seguimiento y control 10%</t>
  </si>
  <si>
    <t xml:space="preserve">Costo búsqueda activa niños desnutridos </t>
  </si>
  <si>
    <t>Juego de cama (funda, sábana y sobre sábana) (unidades)</t>
  </si>
  <si>
    <t>Equipo de órganos ( Otoscopio, especulo nasal)</t>
  </si>
  <si>
    <t>Termómetro más tensiómetro pediátrico (unidad)</t>
  </si>
  <si>
    <t>DOTACIÓN COMEDOR ( inversión inicial)</t>
  </si>
  <si>
    <t>Termómetro: tipo: Bimetálico, capacidad: para realizar mediciones de temperatura entre - 20 ºC y 100 ºC, sensibilidad: 0,5 ºC, unidad de medida: grados Celsius (ºC), para realizar la medición debe estar calibrado inicialmente, calibración periódica: 4 años.</t>
  </si>
  <si>
    <t>DOTACIÓN MENAJE DOMESTICO (anual)</t>
  </si>
  <si>
    <t>Pocillos  plásticos (unidades)</t>
  </si>
  <si>
    <t>Bandejas plásticas (unidades)</t>
  </si>
  <si>
    <t>MATERIAL DIDÁCTICO DE CONSUMO (mensual)</t>
  </si>
  <si>
    <t>Bolígrafo (unidades)</t>
  </si>
  <si>
    <t>Papel periódico (pliego)</t>
  </si>
  <si>
    <t>Auxiliares de enfermería (nocturna)</t>
  </si>
  <si>
    <t>Auxiliares de enfermería (diurna)</t>
  </si>
  <si>
    <t>Trabajador Social o Psicólogo (*)</t>
  </si>
  <si>
    <t>(*) Para el costo profesional se ha tenido en cuento la disponibilidad de tiempo requerido de los profesionales y teniendo en cuenta que hay algunos sitios de difícil acceso</t>
  </si>
  <si>
    <t>ALIMENTACIÓN ( mensual)</t>
  </si>
  <si>
    <t>Formula día/niño</t>
  </si>
  <si>
    <t>Aceite vegetal en Girasol (1000 cc)</t>
  </si>
  <si>
    <t>Azúcar blanco (500 grs)</t>
  </si>
  <si>
    <t>BÚSQUEDA ACTIVA</t>
  </si>
  <si>
    <t>Búsqueda activa de niños y niñas</t>
  </si>
  <si>
    <t xml:space="preserve">COSTOS FORMULA TERAPÉUTICA - FASE II - CENTROS DE RECUPERACIÓN NUTRICIONAL </t>
  </si>
  <si>
    <t>PRESENTACIÓN COMERCIAL</t>
  </si>
  <si>
    <t>Formula día niño</t>
  </si>
  <si>
    <t>Aceite vegetal en Girasol</t>
  </si>
  <si>
    <t>Azúcar ( blanco )</t>
  </si>
  <si>
    <t>AUMENTO AUTORIZADO</t>
  </si>
  <si>
    <t>DISTRIBUCIÓN DE RACIONES POR UNIDAD</t>
  </si>
  <si>
    <t xml:space="preserve">TIPO DE RACIÓN </t>
  </si>
  <si>
    <t xml:space="preserve">1 MES </t>
  </si>
  <si>
    <t>TIPO 1</t>
  </si>
  <si>
    <t>REGIONAL</t>
  </si>
  <si>
    <t>Tipo 1</t>
  </si>
  <si>
    <t>Tipo 2</t>
  </si>
  <si>
    <t>CHOCÓ</t>
  </si>
  <si>
    <t>COSTO MENSUAL RPP</t>
  </si>
  <si>
    <t>ELEMENTOS DE COSTO</t>
  </si>
  <si>
    <t xml:space="preserve">FASE II MENSUAL </t>
  </si>
  <si>
    <t xml:space="preserve">VALOR TOTAL DOTACIÓN INICIAL </t>
  </si>
  <si>
    <t>VALOR TOTAL GASTOS MENSUALES</t>
  </si>
  <si>
    <t>Recurso humano</t>
  </si>
  <si>
    <t>Arriendo y servicios públicos</t>
  </si>
  <si>
    <t>ARRIENDO Y SERVICIOS PÚBLICOS (mensual)</t>
  </si>
  <si>
    <t>RECURSO HUMANO (mensual)</t>
  </si>
  <si>
    <t>Sulfato Ferroso (jarabe)</t>
  </si>
  <si>
    <t>Otros materiales para estimulación</t>
  </si>
  <si>
    <t>Papel kraf (pliego)</t>
  </si>
  <si>
    <t>Fommy (pliego)</t>
  </si>
  <si>
    <t>Plastilina (caja por 12 barras)</t>
  </si>
  <si>
    <t>Colores (caja por 24)</t>
  </si>
  <si>
    <t>Temperas (cajas por 6)</t>
  </si>
  <si>
    <t xml:space="preserve">Pañales desechables (paquete de 30 unidades 3 x niño para el 70%) </t>
  </si>
  <si>
    <t>Acido Fólico (100 tabletas de 1 mg)</t>
  </si>
  <si>
    <t>COSTO PARA 15 NIÑOS DÍA</t>
  </si>
  <si>
    <t>#</t>
  </si>
  <si>
    <t>REPOSICIÓN
(Solo primer mes)</t>
  </si>
  <si>
    <t>FASE II</t>
  </si>
  <si>
    <t>6 a 11 meses (RPP tipo 1)</t>
  </si>
  <si>
    <t xml:space="preserve">VALOR MES </t>
  </si>
  <si>
    <t>VALOR NIÑO/MES</t>
  </si>
  <si>
    <t>12 a 59 meses
(RPP tipo 2)</t>
  </si>
  <si>
    <t>VALOR NIÑO/DÍA</t>
  </si>
  <si>
    <t>Multivitamínico</t>
  </si>
  <si>
    <t xml:space="preserve">VALOR UNITARIO 2014 </t>
  </si>
  <si>
    <t>VALOR UNITARIO 2015</t>
  </si>
  <si>
    <t xml:space="preserve">VALOR UNITARIO 2014  </t>
  </si>
  <si>
    <t xml:space="preserve">VALOR UNITARIO 2014   </t>
  </si>
  <si>
    <t>AUMENTO AUTORIZADO PARA EL AÑO 2015</t>
  </si>
  <si>
    <t>Valor 2014</t>
  </si>
  <si>
    <t>Valor 2015</t>
  </si>
  <si>
    <t>COSTOS ANUALES CENTROS DE RECUPERACIÓN NUTRICIONAL 
VIGENCIA 2015</t>
  </si>
  <si>
    <t xml:space="preserve">MESES VIGENCIA 2015: </t>
  </si>
  <si>
    <t>COSTOS MENSUALES CENTRO DE RECUPERACIÓN NUTRICIONAL AÑO 2015</t>
  </si>
  <si>
    <t>COSTOS TOTALES VIGENCIA 2015</t>
  </si>
  <si>
    <t>COSTOS MES VIGENCIA 2015</t>
  </si>
  <si>
    <t>COSTO UNITARIO DE RPP -  2015</t>
  </si>
  <si>
    <t>COSTO PARA 1 MES DE RPP -  2015</t>
  </si>
  <si>
    <t>VALOR 10 MESES</t>
  </si>
  <si>
    <t xml:space="preserve">10 MES </t>
  </si>
  <si>
    <t>Ollas de acero inoxidable y olla a presión (Kit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</si>
</sst>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&quot;$&quot;\ #,##0_);\(&quot;$&quot;\ #,##0\)"/>
    <numFmt numFmtId="165" formatCode="&quot;$&quot;\ #,##0_);[Red]\(&quot;$&quot;\ #,##0\)"/>
    <numFmt numFmtId="166" formatCode="&quot;$&quot;\ #,##0.00_);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&quot;$&quot;\ #,##0"/>
    <numFmt numFmtId="170" formatCode="&quot;$&quot;\ #,##0.00"/>
    <numFmt numFmtId="171" formatCode="[$$-240A]\ #,##0"/>
    <numFmt numFmtId="172" formatCode="&quot;Costo busqueda activa niños desnutridos $&quot;\ 0\ &quot;anual&quot;"/>
    <numFmt numFmtId="173" formatCode="_(&quot;$&quot;\ * #,##0_);_(&quot;$&quot;\ * \(#,##0\);_(&quot;$&quot;\ * &quot;-&quot;??_);_(@_)"/>
    <numFmt numFmtId="174" formatCode="_(&quot;$&quot;\ * #,##0.0_);_(&quot;$&quot;\ * \(#,##0.0\);_(&quot;$&quot;\ * &quot;-&quot;??_);_(@_)"/>
    <numFmt numFmtId="175" formatCode="[$$-240A]\ #,##0.00"/>
    <numFmt numFmtId="176" formatCode="_ * #,##0.00_ ;_ * \-#,##0.00_ ;_ * &quot;-&quot;??_ ;_ @_ "/>
    <numFmt numFmtId="177" formatCode="&quot;$&quot;\ #,##0.0_);\(&quot;$&quot;\ #,##0.0\)"/>
  </numFmts>
  <fonts count="20">
    <font>
      <sz val="10"/>
      <color theme="1"/>
      <name val="Zurich BT"/>
      <family val="2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i/>
      <sz val="9"/>
      <color theme="1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Zurich B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b/>
      <i/>
      <sz val="10"/>
      <name val="Arial Narrow"/>
      <family val="2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00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167" fontId="2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/>
    <xf numFmtId="0" fontId="4" fillId="0" borderId="0"/>
  </cellStyleXfs>
  <cellXfs count="187">
    <xf numFmtId="0" fontId="0" fillId="0" borderId="0" xfId="0"/>
    <xf numFmtId="0" fontId="3" fillId="0" borderId="0" xfId="0" applyFont="1"/>
    <xf numFmtId="0" fontId="8" fillId="0" borderId="0" xfId="0" applyFont="1"/>
    <xf numFmtId="0" fontId="7" fillId="2" borderId="0" xfId="0" applyFont="1" applyFill="1" applyBorder="1" applyAlignment="1">
      <alignment horizontal="center" vertical="center" wrapText="1"/>
    </xf>
    <xf numFmtId="164" fontId="8" fillId="2" borderId="0" xfId="1" applyNumberFormat="1" applyFont="1" applyFill="1" applyBorder="1" applyAlignment="1"/>
    <xf numFmtId="0" fontId="8" fillId="0" borderId="0" xfId="0" applyFont="1" applyAlignment="1">
      <alignment horizontal="left"/>
    </xf>
    <xf numFmtId="0" fontId="7" fillId="2" borderId="0" xfId="0" applyFont="1" applyFill="1" applyBorder="1" applyAlignment="1">
      <alignment vertical="center"/>
    </xf>
    <xf numFmtId="0" fontId="7" fillId="4" borderId="1" xfId="0" applyFont="1" applyFill="1" applyBorder="1"/>
    <xf numFmtId="0" fontId="7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6" fontId="10" fillId="2" borderId="1" xfId="0" applyNumberFormat="1" applyFont="1" applyFill="1" applyBorder="1" applyAlignment="1">
      <alignment horizontal="right" vertical="center" wrapText="1"/>
    </xf>
    <xf numFmtId="167" fontId="8" fillId="0" borderId="1" xfId="0" applyNumberFormat="1" applyFont="1" applyBorder="1"/>
    <xf numFmtId="166" fontId="8" fillId="0" borderId="1" xfId="0" applyNumberFormat="1" applyFont="1" applyBorder="1"/>
    <xf numFmtId="164" fontId="8" fillId="0" borderId="1" xfId="0" applyNumberFormat="1" applyFont="1" applyBorder="1"/>
    <xf numFmtId="164" fontId="8" fillId="0" borderId="0" xfId="0" applyNumberFormat="1" applyFont="1"/>
    <xf numFmtId="164" fontId="8" fillId="0" borderId="1" xfId="1" applyNumberFormat="1" applyFont="1" applyBorder="1"/>
    <xf numFmtId="0" fontId="8" fillId="0" borderId="0" xfId="0" applyFont="1" applyAlignment="1">
      <alignment horizontal="center"/>
    </xf>
    <xf numFmtId="173" fontId="8" fillId="2" borderId="0" xfId="1" applyNumberFormat="1" applyFont="1" applyFill="1" applyBorder="1" applyAlignment="1"/>
    <xf numFmtId="0" fontId="7" fillId="4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164" fontId="8" fillId="0" borderId="1" xfId="1" applyNumberFormat="1" applyFont="1" applyBorder="1" applyAlignme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164" fontId="8" fillId="0" borderId="0" xfId="1" applyNumberFormat="1" applyFont="1" applyBorder="1" applyAlignment="1"/>
    <xf numFmtId="167" fontId="8" fillId="0" borderId="1" xfId="1" applyNumberFormat="1" applyFont="1" applyBorder="1" applyAlignment="1"/>
    <xf numFmtId="0" fontId="8" fillId="0" borderId="1" xfId="0" applyFont="1" applyBorder="1" applyAlignment="1">
      <alignment horizontal="right"/>
    </xf>
    <xf numFmtId="167" fontId="8" fillId="0" borderId="1" xfId="1" applyNumberFormat="1" applyFont="1" applyFill="1" applyBorder="1"/>
    <xf numFmtId="167" fontId="8" fillId="0" borderId="1" xfId="1" applyNumberFormat="1" applyFont="1" applyBorder="1"/>
    <xf numFmtId="167" fontId="7" fillId="4" borderId="1" xfId="1" applyNumberFormat="1" applyFont="1" applyFill="1" applyBorder="1"/>
    <xf numFmtId="173" fontId="7" fillId="2" borderId="0" xfId="1" applyNumberFormat="1" applyFont="1" applyFill="1" applyBorder="1"/>
    <xf numFmtId="173" fontId="8" fillId="2" borderId="0" xfId="1" applyNumberFormat="1" applyFont="1" applyFill="1" applyBorder="1"/>
    <xf numFmtId="167" fontId="7" fillId="5" borderId="1" xfId="1" applyNumberFormat="1" applyFont="1" applyFill="1" applyBorder="1"/>
    <xf numFmtId="167" fontId="8" fillId="0" borderId="0" xfId="0" applyNumberFormat="1" applyFont="1"/>
    <xf numFmtId="174" fontId="7" fillId="2" borderId="0" xfId="1" applyNumberFormat="1" applyFont="1" applyFill="1" applyBorder="1"/>
    <xf numFmtId="173" fontId="7" fillId="2" borderId="0" xfId="1" applyNumberFormat="1" applyFont="1" applyFill="1" applyBorder="1" applyAlignment="1"/>
    <xf numFmtId="167" fontId="9" fillId="8" borderId="1" xfId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10" fillId="3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9" fontId="9" fillId="4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9" fontId="9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10" fillId="0" borderId="1" xfId="0" applyFont="1" applyBorder="1"/>
    <xf numFmtId="173" fontId="10" fillId="0" borderId="1" xfId="1" applyNumberFormat="1" applyFont="1" applyBorder="1"/>
    <xf numFmtId="0" fontId="10" fillId="0" borderId="1" xfId="0" applyFont="1" applyBorder="1" applyAlignment="1">
      <alignment horizontal="center"/>
    </xf>
    <xf numFmtId="171" fontId="10" fillId="0" borderId="1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3" borderId="5" xfId="0" applyFont="1" applyFill="1" applyBorder="1" applyAlignment="1"/>
    <xf numFmtId="0" fontId="9" fillId="3" borderId="7" xfId="0" applyFont="1" applyFill="1" applyBorder="1" applyAlignment="1"/>
    <xf numFmtId="169" fontId="9" fillId="3" borderId="1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4" fillId="0" borderId="0" xfId="0" applyFont="1"/>
    <xf numFmtId="173" fontId="9" fillId="3" borderId="1" xfId="1" applyNumberFormat="1" applyFont="1" applyFill="1" applyBorder="1" applyAlignment="1">
      <alignment vertical="center"/>
    </xf>
    <xf numFmtId="173" fontId="10" fillId="0" borderId="0" xfId="0" applyNumberFormat="1" applyFont="1"/>
    <xf numFmtId="171" fontId="9" fillId="3" borderId="1" xfId="0" applyNumberFormat="1" applyFont="1" applyFill="1" applyBorder="1" applyAlignment="1">
      <alignment vertical="center"/>
    </xf>
    <xf numFmtId="0" fontId="10" fillId="0" borderId="0" xfId="0" applyFont="1" applyBorder="1"/>
    <xf numFmtId="173" fontId="13" fillId="4" borderId="0" xfId="0" applyNumberFormat="1" applyFont="1" applyFill="1" applyBorder="1" applyAlignment="1"/>
    <xf numFmtId="0" fontId="10" fillId="2" borderId="0" xfId="0" applyFont="1" applyFill="1"/>
    <xf numFmtId="171" fontId="10" fillId="2" borderId="0" xfId="0" applyNumberFormat="1" applyFont="1" applyFill="1"/>
    <xf numFmtId="0" fontId="13" fillId="4" borderId="0" xfId="0" applyFont="1" applyFill="1" applyBorder="1" applyAlignment="1">
      <alignment wrapText="1"/>
    </xf>
    <xf numFmtId="0" fontId="15" fillId="4" borderId="0" xfId="0" applyFont="1" applyFill="1" applyBorder="1" applyAlignment="1"/>
    <xf numFmtId="169" fontId="10" fillId="0" borderId="1" xfId="0" applyNumberFormat="1" applyFont="1" applyBorder="1"/>
    <xf numFmtId="171" fontId="10" fillId="0" borderId="0" xfId="0" applyNumberFormat="1" applyFont="1"/>
    <xf numFmtId="173" fontId="10" fillId="0" borderId="3" xfId="1" applyNumberFormat="1" applyFont="1" applyBorder="1"/>
    <xf numFmtId="0" fontId="14" fillId="0" borderId="9" xfId="0" applyFont="1" applyFill="1" applyBorder="1" applyAlignment="1">
      <alignment wrapText="1"/>
    </xf>
    <xf numFmtId="0" fontId="9" fillId="3" borderId="5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10" fillId="0" borderId="0" xfId="0" applyFont="1" applyFill="1" applyBorder="1"/>
    <xf numFmtId="0" fontId="16" fillId="0" borderId="1" xfId="0" applyFont="1" applyBorder="1"/>
    <xf numFmtId="1" fontId="10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173" fontId="9" fillId="3" borderId="1" xfId="1" applyNumberFormat="1" applyFont="1" applyFill="1" applyBorder="1" applyAlignment="1">
      <alignment vertical="center" wrapText="1"/>
    </xf>
    <xf numFmtId="0" fontId="10" fillId="0" borderId="2" xfId="0" applyFont="1" applyBorder="1"/>
    <xf numFmtId="169" fontId="9" fillId="3" borderId="3" xfId="1" applyNumberFormat="1" applyFont="1" applyFill="1" applyBorder="1" applyAlignment="1">
      <alignment vertical="center" wrapText="1"/>
    </xf>
    <xf numFmtId="0" fontId="10" fillId="2" borderId="1" xfId="0" applyFont="1" applyFill="1" applyBorder="1"/>
    <xf numFmtId="173" fontId="10" fillId="2" borderId="1" xfId="0" applyNumberFormat="1" applyFont="1" applyFill="1" applyBorder="1"/>
    <xf numFmtId="167" fontId="9" fillId="3" borderId="3" xfId="1" applyNumberFormat="1" applyFont="1" applyFill="1" applyBorder="1" applyAlignment="1">
      <alignment vertical="center" wrapText="1"/>
    </xf>
    <xf numFmtId="0" fontId="13" fillId="4" borderId="0" xfId="0" applyFont="1" applyFill="1" applyBorder="1" applyAlignment="1"/>
    <xf numFmtId="173" fontId="13" fillId="4" borderId="0" xfId="0" applyNumberFormat="1" applyFont="1" applyFill="1"/>
    <xf numFmtId="173" fontId="10" fillId="2" borderId="0" xfId="0" applyNumberFormat="1" applyFont="1" applyFill="1"/>
    <xf numFmtId="0" fontId="17" fillId="0" borderId="0" xfId="0" applyFont="1" applyAlignment="1"/>
    <xf numFmtId="9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75" fontId="8" fillId="0" borderId="1" xfId="0" applyNumberFormat="1" applyFont="1" applyBorder="1"/>
    <xf numFmtId="0" fontId="7" fillId="0" borderId="1" xfId="0" applyFont="1" applyBorder="1" applyAlignment="1">
      <alignment horizontal="left"/>
    </xf>
    <xf numFmtId="175" fontId="7" fillId="0" borderId="1" xfId="0" applyNumberFormat="1" applyFont="1" applyBorder="1" applyAlignment="1">
      <alignment horizontal="right"/>
    </xf>
    <xf numFmtId="175" fontId="8" fillId="2" borderId="1" xfId="0" applyNumberFormat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175" fontId="7" fillId="2" borderId="1" xfId="0" applyNumberFormat="1" applyFont="1" applyFill="1" applyBorder="1"/>
    <xf numFmtId="3" fontId="7" fillId="0" borderId="1" xfId="0" applyNumberFormat="1" applyFont="1" applyBorder="1"/>
    <xf numFmtId="175" fontId="7" fillId="0" borderId="1" xfId="0" applyNumberFormat="1" applyFont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8" fillId="3" borderId="1" xfId="0" applyFont="1" applyFill="1" applyBorder="1"/>
    <xf numFmtId="0" fontId="8" fillId="4" borderId="1" xfId="0" applyFont="1" applyFill="1" applyBorder="1"/>
    <xf numFmtId="0" fontId="11" fillId="4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 vertical="center" wrapText="1"/>
    </xf>
    <xf numFmtId="166" fontId="8" fillId="0" borderId="1" xfId="5" applyNumberFormat="1" applyFont="1" applyBorder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9" fontId="10" fillId="0" borderId="0" xfId="0" applyNumberFormat="1" applyFont="1"/>
    <xf numFmtId="171" fontId="10" fillId="2" borderId="1" xfId="0" applyNumberFormat="1" applyFont="1" applyFill="1" applyBorder="1"/>
    <xf numFmtId="165" fontId="8" fillId="0" borderId="0" xfId="0" applyNumberFormat="1" applyFont="1"/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/>
    <xf numFmtId="0" fontId="9" fillId="3" borderId="6" xfId="0" applyFont="1" applyFill="1" applyBorder="1" applyAlignment="1">
      <alignment vertical="center" wrapText="1"/>
    </xf>
    <xf numFmtId="177" fontId="8" fillId="0" borderId="1" xfId="0" applyNumberFormat="1" applyFont="1" applyBorder="1"/>
    <xf numFmtId="0" fontId="7" fillId="9" borderId="5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70" fontId="7" fillId="4" borderId="5" xfId="0" applyNumberFormat="1" applyFont="1" applyFill="1" applyBorder="1" applyAlignment="1">
      <alignment horizontal="center" vertical="top" wrapText="1"/>
    </xf>
    <xf numFmtId="170" fontId="7" fillId="4" borderId="7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172" fontId="8" fillId="0" borderId="5" xfId="0" applyNumberFormat="1" applyFont="1" applyBorder="1" applyAlignment="1">
      <alignment horizontal="left" vertical="top" wrapText="1"/>
    </xf>
    <xf numFmtId="172" fontId="8" fillId="0" borderId="7" xfId="0" applyNumberFormat="1" applyFont="1" applyBorder="1" applyAlignment="1">
      <alignment horizontal="left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6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justify" wrapText="1"/>
    </xf>
    <xf numFmtId="0" fontId="7" fillId="4" borderId="6" xfId="0" applyFont="1" applyFill="1" applyBorder="1" applyAlignment="1">
      <alignment horizontal="center" vertical="justify" wrapText="1"/>
    </xf>
    <xf numFmtId="0" fontId="7" fillId="4" borderId="7" xfId="0" applyFont="1" applyFill="1" applyBorder="1" applyAlignment="1">
      <alignment horizontal="center" vertical="justify" wrapText="1"/>
    </xf>
    <xf numFmtId="0" fontId="17" fillId="0" borderId="0" xfId="0" applyFont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</cellXfs>
  <cellStyles count="10">
    <cellStyle name="Millares 2" xfId="3"/>
    <cellStyle name="Millares 3" xfId="6"/>
    <cellStyle name="Millares 4" xfId="7"/>
    <cellStyle name="Moneda" xfId="1" builtinId="4"/>
    <cellStyle name="Moneda 2" xfId="5"/>
    <cellStyle name="Moneda 3" xfId="4"/>
    <cellStyle name="Normal" xfId="0" builtinId="0"/>
    <cellStyle name="Normal 2" xfId="8"/>
    <cellStyle name="Normal 3" xfId="9"/>
    <cellStyle name="Normal 4" xfId="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zoomScaleNormal="100" workbookViewId="0">
      <selection activeCell="D18" sqref="D18"/>
    </sheetView>
  </sheetViews>
  <sheetFormatPr baseColWidth="10" defaultRowHeight="12.75"/>
  <cols>
    <col min="1" max="1" width="4.140625" style="23" bestFit="1" customWidth="1"/>
    <col min="2" max="2" width="19.85546875" style="2" customWidth="1"/>
    <col min="3" max="3" width="15.140625" style="2" customWidth="1"/>
    <col min="4" max="4" width="17" style="2" bestFit="1" customWidth="1"/>
    <col min="5" max="5" width="15.5703125" style="2" bestFit="1" customWidth="1"/>
    <col min="6" max="6" width="17.140625" style="2" customWidth="1"/>
    <col min="7" max="7" width="15.28515625" style="2" customWidth="1"/>
    <col min="8" max="9" width="16.140625" style="2" bestFit="1" customWidth="1"/>
    <col min="10" max="10" width="18.140625" style="2" customWidth="1"/>
    <col min="11" max="11" width="7" style="2" customWidth="1"/>
    <col min="12" max="12" width="16.140625" style="2" bestFit="1" customWidth="1"/>
    <col min="13" max="13" width="12.5703125" style="2" bestFit="1" customWidth="1"/>
    <col min="14" max="14" width="13.28515625" style="2" customWidth="1"/>
    <col min="15" max="16384" width="11.42578125" style="2"/>
  </cols>
  <sheetData>
    <row r="1" spans="1:17" ht="32.25" customHeight="1">
      <c r="A1" s="138" t="s">
        <v>204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7">
      <c r="A2" s="3"/>
      <c r="B2" s="3"/>
      <c r="C2" s="3"/>
      <c r="D2" s="3"/>
      <c r="E2" s="3"/>
      <c r="F2" s="4"/>
    </row>
    <row r="3" spans="1:17">
      <c r="A3" s="137" t="s">
        <v>205</v>
      </c>
      <c r="B3" s="137"/>
      <c r="C3" s="5">
        <v>10</v>
      </c>
      <c r="D3" s="6"/>
      <c r="E3" s="6"/>
      <c r="F3" s="6"/>
    </row>
    <row r="4" spans="1:17">
      <c r="A4" s="142" t="s">
        <v>188</v>
      </c>
      <c r="B4" s="142" t="s">
        <v>165</v>
      </c>
      <c r="C4" s="141" t="s">
        <v>192</v>
      </c>
      <c r="D4" s="141"/>
      <c r="E4" s="141"/>
      <c r="F4" s="141"/>
      <c r="G4" s="140" t="s">
        <v>211</v>
      </c>
      <c r="H4" s="140"/>
      <c r="I4" s="140"/>
      <c r="J4" s="140"/>
      <c r="L4" s="7" t="s">
        <v>195</v>
      </c>
      <c r="M4" s="143" t="s">
        <v>193</v>
      </c>
      <c r="N4" s="144"/>
    </row>
    <row r="5" spans="1:17">
      <c r="A5" s="142"/>
      <c r="B5" s="142"/>
      <c r="C5" s="141"/>
      <c r="D5" s="141"/>
      <c r="E5" s="141"/>
      <c r="F5" s="141"/>
      <c r="G5" s="140"/>
      <c r="H5" s="140"/>
      <c r="I5" s="140"/>
      <c r="J5" s="140"/>
      <c r="L5" s="139" t="s">
        <v>190</v>
      </c>
      <c r="M5" s="135" t="s">
        <v>111</v>
      </c>
      <c r="N5" s="136"/>
    </row>
    <row r="6" spans="1:17" ht="25.5">
      <c r="A6" s="142"/>
      <c r="B6" s="142"/>
      <c r="C6" s="8" t="s">
        <v>189</v>
      </c>
      <c r="D6" s="9" t="s">
        <v>190</v>
      </c>
      <c r="E6" s="10" t="s">
        <v>111</v>
      </c>
      <c r="F6" s="11" t="s">
        <v>208</v>
      </c>
      <c r="G6" s="8" t="s">
        <v>189</v>
      </c>
      <c r="H6" s="12" t="s">
        <v>190</v>
      </c>
      <c r="I6" s="10" t="s">
        <v>111</v>
      </c>
      <c r="J6" s="13" t="s">
        <v>207</v>
      </c>
      <c r="L6" s="139"/>
      <c r="M6" s="14" t="s">
        <v>191</v>
      </c>
      <c r="N6" s="14" t="s">
        <v>194</v>
      </c>
    </row>
    <row r="7" spans="1:17">
      <c r="A7" s="15">
        <v>1</v>
      </c>
      <c r="B7" s="16" t="s">
        <v>168</v>
      </c>
      <c r="C7" s="17">
        <f>+'RESUMEN COSTOS MENSUALES'!$D$7</f>
        <v>2099063</v>
      </c>
      <c r="D7" s="18">
        <f>+'RESUMEN COSTOS MENSUALES'!$D$21</f>
        <v>32283875</v>
      </c>
      <c r="E7" s="19">
        <f>+'RESUMEN COSTOS MENSUALES'!E25</f>
        <v>6351696</v>
      </c>
      <c r="F7" s="19">
        <f t="shared" ref="F7" si="0">+D7+E7</f>
        <v>38635571</v>
      </c>
      <c r="G7" s="134">
        <f t="shared" ref="G7" si="1">+C7</f>
        <v>2099063</v>
      </c>
      <c r="H7" s="134">
        <f t="shared" ref="H7" si="2">+D7*$C$3</f>
        <v>322838750</v>
      </c>
      <c r="I7" s="134">
        <f t="shared" ref="I7" si="3">+E7*$C$3</f>
        <v>63516960</v>
      </c>
      <c r="J7" s="134">
        <f t="shared" ref="J7" si="4">+G7+H7+I7</f>
        <v>388454773</v>
      </c>
      <c r="K7" s="21"/>
      <c r="L7" s="22">
        <f t="shared" ref="L7" si="5">ROUND(D7/15/30,)</f>
        <v>71742</v>
      </c>
      <c r="M7" s="20">
        <f>+'FASE III'!N17</f>
        <v>145192</v>
      </c>
      <c r="N7" s="20">
        <f>+'FASE III'!O17</f>
        <v>51920</v>
      </c>
      <c r="Q7" s="129"/>
    </row>
  </sheetData>
  <mergeCells count="9">
    <mergeCell ref="M5:N5"/>
    <mergeCell ref="A3:B3"/>
    <mergeCell ref="A1:N1"/>
    <mergeCell ref="L5:L6"/>
    <mergeCell ref="G4:J5"/>
    <mergeCell ref="C4:F5"/>
    <mergeCell ref="B4:B6"/>
    <mergeCell ref="A4:A6"/>
    <mergeCell ref="M4:N4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zoomScaleNormal="100" zoomScaleSheetLayoutView="100" workbookViewId="0">
      <selection activeCell="E39" sqref="E39"/>
    </sheetView>
  </sheetViews>
  <sheetFormatPr baseColWidth="10" defaultRowHeight="12.75"/>
  <cols>
    <col min="1" max="1" width="11.42578125" style="2"/>
    <col min="2" max="2" width="13.42578125" style="2" bestFit="1" customWidth="1"/>
    <col min="3" max="3" width="19.5703125" style="2" customWidth="1"/>
    <col min="4" max="5" width="15.42578125" style="2" bestFit="1" customWidth="1"/>
    <col min="6" max="6" width="13.85546875" style="2" bestFit="1" customWidth="1"/>
    <col min="7" max="7" width="17.140625" style="2" bestFit="1" customWidth="1"/>
    <col min="8" max="8" width="15.85546875" style="2" bestFit="1" customWidth="1"/>
    <col min="9" max="9" width="16.140625" style="2" customWidth="1"/>
    <col min="10" max="10" width="18.42578125" style="2" customWidth="1"/>
    <col min="11" max="11" width="14.42578125" style="2" bestFit="1" customWidth="1"/>
    <col min="12" max="12" width="17.28515625" style="2" customWidth="1"/>
    <col min="13" max="13" width="19.28515625" style="2" bestFit="1" customWidth="1"/>
    <col min="14" max="14" width="17.140625" style="2" bestFit="1" customWidth="1"/>
    <col min="15" max="15" width="13.5703125" style="2" bestFit="1" customWidth="1"/>
    <col min="16" max="16" width="14.85546875" style="2" bestFit="1" customWidth="1"/>
    <col min="17" max="16384" width="11.42578125" style="2"/>
  </cols>
  <sheetData>
    <row r="1" spans="1:18" ht="16.5">
      <c r="A1" s="148" t="s">
        <v>206</v>
      </c>
      <c r="B1" s="149"/>
      <c r="C1" s="149"/>
      <c r="D1" s="149"/>
      <c r="E1" s="149"/>
      <c r="F1" s="149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>
      <c r="F2" s="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>
      <c r="F3" s="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>
      <c r="F4" s="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>
      <c r="A5" s="140" t="s">
        <v>17</v>
      </c>
      <c r="B5" s="150" t="s">
        <v>170</v>
      </c>
      <c r="C5" s="151"/>
      <c r="D5" s="25" t="s">
        <v>18</v>
      </c>
      <c r="G5" s="26"/>
      <c r="H5" s="26"/>
      <c r="I5" s="26"/>
      <c r="J5" s="26"/>
      <c r="K5" s="26"/>
      <c r="L5" s="26"/>
    </row>
    <row r="6" spans="1:18" ht="12.75" customHeight="1">
      <c r="A6" s="140"/>
      <c r="B6" s="152" t="s">
        <v>121</v>
      </c>
      <c r="C6" s="153"/>
      <c r="D6" s="27">
        <f>+'DOTACIÓN INICIAL'!E73</f>
        <v>20990621</v>
      </c>
      <c r="G6" s="4"/>
      <c r="H6" s="4"/>
      <c r="I6" s="4"/>
      <c r="J6" s="4"/>
      <c r="K6" s="4"/>
      <c r="L6" s="4"/>
    </row>
    <row r="7" spans="1:18">
      <c r="A7" s="140"/>
      <c r="B7" s="152" t="s">
        <v>123</v>
      </c>
      <c r="C7" s="153"/>
      <c r="D7" s="27">
        <f>+ROUNDUP(D6*10%,0)</f>
        <v>2099063</v>
      </c>
      <c r="G7" s="4"/>
      <c r="H7" s="4"/>
      <c r="I7" s="4"/>
      <c r="J7" s="4"/>
      <c r="K7" s="4"/>
      <c r="L7" s="4"/>
    </row>
    <row r="8" spans="1:18">
      <c r="A8" s="28"/>
      <c r="B8" s="3"/>
      <c r="C8" s="29"/>
      <c r="D8" s="30"/>
      <c r="G8" s="4"/>
      <c r="H8" s="4"/>
      <c r="I8" s="4"/>
      <c r="J8" s="4"/>
      <c r="K8" s="4"/>
      <c r="L8" s="4"/>
    </row>
    <row r="9" spans="1:18">
      <c r="A9" s="140" t="s">
        <v>171</v>
      </c>
      <c r="B9" s="155" t="s">
        <v>170</v>
      </c>
      <c r="C9" s="156"/>
      <c r="D9" s="25" t="s">
        <v>18</v>
      </c>
      <c r="G9" s="4"/>
      <c r="H9" s="4"/>
      <c r="I9" s="4"/>
      <c r="J9" s="4"/>
      <c r="K9" s="4"/>
      <c r="L9" s="4"/>
    </row>
    <row r="10" spans="1:18">
      <c r="A10" s="140"/>
      <c r="B10" s="154" t="s">
        <v>119</v>
      </c>
      <c r="C10" s="154"/>
      <c r="D10" s="31">
        <f>+'FASE II - DETALLADO'!E22</f>
        <v>1090157</v>
      </c>
      <c r="G10" s="24"/>
      <c r="H10" s="24"/>
      <c r="I10" s="24"/>
      <c r="J10" s="24"/>
      <c r="K10" s="24"/>
      <c r="L10" s="24"/>
    </row>
    <row r="11" spans="1:18">
      <c r="A11" s="140"/>
      <c r="B11" s="154" t="s">
        <v>120</v>
      </c>
      <c r="C11" s="154"/>
      <c r="D11" s="31">
        <f>+'FASE II - DETALLADO'!E28</f>
        <v>120834</v>
      </c>
      <c r="G11" s="24"/>
      <c r="H11" s="24"/>
      <c r="I11" s="24"/>
      <c r="J11" s="24"/>
      <c r="K11" s="24"/>
      <c r="L11" s="24"/>
    </row>
    <row r="12" spans="1:18">
      <c r="A12" s="140"/>
      <c r="B12" s="154" t="s">
        <v>131</v>
      </c>
      <c r="C12" s="154"/>
      <c r="D12" s="31">
        <f>+'FASE II - DETALLADO'!E47</f>
        <v>150301</v>
      </c>
      <c r="G12" s="24"/>
      <c r="H12" s="24"/>
      <c r="I12" s="24"/>
      <c r="J12" s="24"/>
      <c r="K12" s="24"/>
      <c r="L12" s="24"/>
    </row>
    <row r="13" spans="1:18">
      <c r="A13" s="140"/>
      <c r="B13" s="154" t="s">
        <v>174</v>
      </c>
      <c r="C13" s="154"/>
      <c r="D13" s="31">
        <f>+'FASE II - DETALLADO'!E57</f>
        <v>18753406</v>
      </c>
      <c r="G13" s="24"/>
      <c r="H13" s="24"/>
      <c r="I13" s="24"/>
      <c r="J13" s="24"/>
      <c r="K13" s="24"/>
      <c r="L13" s="24"/>
    </row>
    <row r="14" spans="1:18">
      <c r="A14" s="140"/>
      <c r="B14" s="154" t="s">
        <v>175</v>
      </c>
      <c r="C14" s="154"/>
      <c r="D14" s="31">
        <f>+'FASE II - DETALLADO'!E62</f>
        <v>1510889</v>
      </c>
      <c r="G14" s="24"/>
      <c r="H14" s="24"/>
      <c r="I14" s="24"/>
      <c r="J14" s="24"/>
      <c r="K14" s="24"/>
      <c r="L14" s="24"/>
    </row>
    <row r="15" spans="1:18">
      <c r="A15" s="140"/>
      <c r="B15" s="145" t="s">
        <v>20</v>
      </c>
      <c r="C15" s="32" t="s">
        <v>39</v>
      </c>
      <c r="D15" s="33">
        <f>+'FASE II - DETALLADO'!E73</f>
        <v>3883050</v>
      </c>
      <c r="G15" s="24"/>
      <c r="H15" s="24"/>
      <c r="I15" s="24"/>
      <c r="J15" s="24"/>
      <c r="K15" s="24"/>
      <c r="L15" s="24"/>
    </row>
    <row r="16" spans="1:18">
      <c r="A16" s="140"/>
      <c r="B16" s="145"/>
      <c r="C16" s="32" t="s">
        <v>34</v>
      </c>
      <c r="D16" s="34">
        <f>+'FASE II - DETALLADO'!E85</f>
        <v>2505600</v>
      </c>
      <c r="G16" s="24"/>
      <c r="H16" s="24"/>
      <c r="I16" s="24"/>
      <c r="J16" s="24"/>
      <c r="K16" s="24"/>
      <c r="L16" s="24"/>
    </row>
    <row r="17" spans="1:12">
      <c r="A17" s="140"/>
      <c r="B17" s="145"/>
      <c r="C17" s="32" t="s">
        <v>196</v>
      </c>
      <c r="D17" s="34">
        <f>+'FASE II - DETALLADO'!E91</f>
        <v>318503</v>
      </c>
      <c r="G17" s="24"/>
      <c r="H17" s="24"/>
      <c r="I17" s="24"/>
      <c r="J17" s="24"/>
      <c r="K17" s="24"/>
      <c r="L17" s="24"/>
    </row>
    <row r="18" spans="1:12">
      <c r="A18" s="140"/>
      <c r="B18" s="157" t="s">
        <v>36</v>
      </c>
      <c r="C18" s="158"/>
      <c r="D18" s="35">
        <f>SUM(D10:D17)</f>
        <v>28332740</v>
      </c>
      <c r="G18" s="36"/>
      <c r="H18" s="36"/>
      <c r="I18" s="36"/>
      <c r="J18" s="36"/>
      <c r="K18" s="36"/>
      <c r="L18" s="24"/>
    </row>
    <row r="19" spans="1:12">
      <c r="A19" s="140"/>
      <c r="B19" s="159" t="s">
        <v>132</v>
      </c>
      <c r="C19" s="160"/>
      <c r="D19" s="34">
        <f>+ROUND(D18*10%,0)</f>
        <v>2833274</v>
      </c>
      <c r="G19" s="37"/>
      <c r="H19" s="37"/>
      <c r="I19" s="37"/>
      <c r="J19" s="37"/>
      <c r="K19" s="37"/>
      <c r="L19" s="24"/>
    </row>
    <row r="20" spans="1:12">
      <c r="A20" s="140"/>
      <c r="B20" s="161" t="s">
        <v>133</v>
      </c>
      <c r="C20" s="162"/>
      <c r="D20" s="34">
        <f>+'FASE II - DETALLADO'!E95</f>
        <v>1117861</v>
      </c>
      <c r="G20" s="37"/>
      <c r="H20" s="37"/>
      <c r="I20" s="37"/>
      <c r="J20" s="37"/>
      <c r="K20" s="37"/>
      <c r="L20" s="24"/>
    </row>
    <row r="21" spans="1:12">
      <c r="A21" s="140"/>
      <c r="B21" s="163" t="s">
        <v>122</v>
      </c>
      <c r="C21" s="164"/>
      <c r="D21" s="38">
        <f t="shared" ref="D21" si="0">SUM(D18:D20)</f>
        <v>32283875</v>
      </c>
      <c r="E21" s="39"/>
      <c r="F21" s="39"/>
      <c r="G21" s="36"/>
      <c r="H21" s="36"/>
      <c r="I21" s="36"/>
      <c r="J21" s="36"/>
      <c r="K21" s="40"/>
      <c r="L21" s="41"/>
    </row>
    <row r="22" spans="1:12" ht="13.5">
      <c r="F22" s="1"/>
    </row>
    <row r="23" spans="1:12" ht="12.75" customHeight="1">
      <c r="A23" s="140" t="s">
        <v>111</v>
      </c>
      <c r="B23" s="146" t="s">
        <v>165</v>
      </c>
      <c r="C23" s="140" t="s">
        <v>169</v>
      </c>
      <c r="D23" s="140"/>
      <c r="E23" s="140"/>
    </row>
    <row r="24" spans="1:12">
      <c r="A24" s="140"/>
      <c r="B24" s="147"/>
      <c r="C24" s="42" t="s">
        <v>164</v>
      </c>
      <c r="D24" s="42" t="s">
        <v>110</v>
      </c>
      <c r="E24" s="42" t="s">
        <v>109</v>
      </c>
    </row>
    <row r="25" spans="1:12">
      <c r="A25" s="140"/>
      <c r="B25" s="16" t="s">
        <v>168</v>
      </c>
      <c r="C25" s="43">
        <f>+'FASE III'!P17</f>
        <v>2613456</v>
      </c>
      <c r="D25" s="43">
        <f>+'FASE III'!Q17</f>
        <v>3738240</v>
      </c>
      <c r="E25" s="43">
        <f t="shared" ref="E25" si="1">+C25+D25</f>
        <v>6351696</v>
      </c>
      <c r="H25" s="21"/>
    </row>
  </sheetData>
  <mergeCells count="20">
    <mergeCell ref="B11:C11"/>
    <mergeCell ref="B12:C12"/>
    <mergeCell ref="B13:C13"/>
    <mergeCell ref="B14:C14"/>
    <mergeCell ref="B15:B17"/>
    <mergeCell ref="A23:A25"/>
    <mergeCell ref="C23:E23"/>
    <mergeCell ref="B23:B24"/>
    <mergeCell ref="A1:F1"/>
    <mergeCell ref="B5:C5"/>
    <mergeCell ref="B6:C6"/>
    <mergeCell ref="B7:C7"/>
    <mergeCell ref="B10:C10"/>
    <mergeCell ref="B9:C9"/>
    <mergeCell ref="A5:A7"/>
    <mergeCell ref="A9:A21"/>
    <mergeCell ref="B18:C18"/>
    <mergeCell ref="B19:C19"/>
    <mergeCell ref="B20:C20"/>
    <mergeCell ref="B21:C21"/>
  </mergeCells>
  <pageMargins left="0.70866141732283472" right="0.70866141732283472" top="0.74803149606299213" bottom="1.3385826771653544" header="2.1653543307086616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showGridLines="0" view="pageBreakPreview" zoomScale="115" zoomScaleNormal="100" zoomScaleSheetLayoutView="115" workbookViewId="0">
      <selection activeCell="A66" sqref="A66"/>
    </sheetView>
  </sheetViews>
  <sheetFormatPr baseColWidth="10" defaultRowHeight="12.75"/>
  <cols>
    <col min="1" max="1" width="70.140625" style="45" customWidth="1"/>
    <col min="2" max="3" width="15" style="45" customWidth="1"/>
    <col min="4" max="4" width="15.7109375" style="45" customWidth="1"/>
    <col min="5" max="5" width="17.42578125" style="45" customWidth="1"/>
    <col min="6" max="16384" width="11.42578125" style="2"/>
  </cols>
  <sheetData>
    <row r="1" spans="1:5" ht="37.5" customHeight="1">
      <c r="A1" s="166" t="s">
        <v>113</v>
      </c>
      <c r="B1" s="166"/>
      <c r="C1" s="166"/>
      <c r="D1" s="166"/>
      <c r="E1" s="166"/>
    </row>
    <row r="2" spans="1:5">
      <c r="A2" s="44"/>
    </row>
    <row r="3" spans="1:5">
      <c r="A3" s="46" t="s">
        <v>60</v>
      </c>
      <c r="B3" s="170">
        <v>2015</v>
      </c>
      <c r="C3" s="171"/>
      <c r="D3" s="171"/>
      <c r="E3" s="172"/>
    </row>
    <row r="4" spans="1:5">
      <c r="A4" s="47"/>
      <c r="B4" s="167" t="s">
        <v>160</v>
      </c>
      <c r="C4" s="168"/>
      <c r="D4" s="169"/>
      <c r="E4" s="48">
        <v>0.03</v>
      </c>
    </row>
    <row r="5" spans="1:5">
      <c r="A5" s="47"/>
      <c r="D5" s="49"/>
      <c r="E5" s="50"/>
    </row>
    <row r="6" spans="1:5" ht="24" customHeight="1">
      <c r="A6" s="51" t="s">
        <v>59</v>
      </c>
      <c r="B6" s="51"/>
      <c r="C6" s="51"/>
      <c r="D6" s="51"/>
      <c r="E6" s="51"/>
    </row>
    <row r="7" spans="1:5" ht="15.75">
      <c r="A7" s="52"/>
      <c r="B7" s="52"/>
      <c r="C7" s="52"/>
      <c r="D7" s="52"/>
      <c r="E7" s="52"/>
    </row>
    <row r="8" spans="1:5" ht="25.5" customHeight="1">
      <c r="A8" s="53" t="s">
        <v>40</v>
      </c>
      <c r="B8" s="142" t="s">
        <v>197</v>
      </c>
      <c r="C8" s="142" t="s">
        <v>198</v>
      </c>
      <c r="D8" s="142" t="s">
        <v>107</v>
      </c>
      <c r="E8" s="142" t="s">
        <v>108</v>
      </c>
    </row>
    <row r="9" spans="1:5" ht="21" customHeight="1">
      <c r="A9" s="54" t="s">
        <v>1</v>
      </c>
      <c r="B9" s="142"/>
      <c r="C9" s="142"/>
      <c r="D9" s="142"/>
      <c r="E9" s="142"/>
    </row>
    <row r="10" spans="1:5">
      <c r="A10" s="55" t="s">
        <v>41</v>
      </c>
      <c r="B10" s="56">
        <v>221083.94273800001</v>
      </c>
      <c r="C10" s="56">
        <f>+ROUND(B10+(B10*$E$4),0)</f>
        <v>227716</v>
      </c>
      <c r="D10" s="57">
        <v>15</v>
      </c>
      <c r="E10" s="58">
        <f>ROUNDUP(C10*D10,0)</f>
        <v>3415740</v>
      </c>
    </row>
    <row r="11" spans="1:5">
      <c r="A11" s="55" t="s">
        <v>42</v>
      </c>
      <c r="B11" s="56">
        <v>181988.82292800004</v>
      </c>
      <c r="C11" s="56">
        <f t="shared" ref="C11:C21" si="0">+ROUND(B11+(B11*$E$4),0)</f>
        <v>187448</v>
      </c>
      <c r="D11" s="57">
        <v>2</v>
      </c>
      <c r="E11" s="58">
        <f t="shared" ref="E11:E21" si="1">ROUNDUP(C11*D11,0)</f>
        <v>374896</v>
      </c>
    </row>
    <row r="12" spans="1:5">
      <c r="A12" s="55" t="s">
        <v>43</v>
      </c>
      <c r="B12" s="56">
        <v>62453.23094400001</v>
      </c>
      <c r="C12" s="56">
        <f t="shared" si="0"/>
        <v>64327</v>
      </c>
      <c r="D12" s="57">
        <v>15</v>
      </c>
      <c r="E12" s="58">
        <f t="shared" si="1"/>
        <v>964905</v>
      </c>
    </row>
    <row r="13" spans="1:5">
      <c r="A13" s="55" t="s">
        <v>44</v>
      </c>
      <c r="B13" s="56">
        <v>124906.46188800002</v>
      </c>
      <c r="C13" s="56">
        <f t="shared" si="0"/>
        <v>128654</v>
      </c>
      <c r="D13" s="57">
        <v>2</v>
      </c>
      <c r="E13" s="58">
        <f t="shared" si="1"/>
        <v>257308</v>
      </c>
    </row>
    <row r="14" spans="1:5">
      <c r="A14" s="55" t="s">
        <v>45</v>
      </c>
      <c r="B14" s="56">
        <v>52460.444100000001</v>
      </c>
      <c r="C14" s="56">
        <f t="shared" si="0"/>
        <v>54034</v>
      </c>
      <c r="D14" s="57">
        <v>17</v>
      </c>
      <c r="E14" s="58">
        <f t="shared" si="1"/>
        <v>918578</v>
      </c>
    </row>
    <row r="15" spans="1:5">
      <c r="A15" s="55" t="s">
        <v>46</v>
      </c>
      <c r="B15" s="56">
        <v>4934.5429520000007</v>
      </c>
      <c r="C15" s="56">
        <f t="shared" si="0"/>
        <v>5083</v>
      </c>
      <c r="D15" s="57">
        <v>17</v>
      </c>
      <c r="E15" s="58">
        <f t="shared" si="1"/>
        <v>86411</v>
      </c>
    </row>
    <row r="16" spans="1:5">
      <c r="A16" s="55" t="s">
        <v>134</v>
      </c>
      <c r="B16" s="56">
        <v>45590.543713999999</v>
      </c>
      <c r="C16" s="56">
        <f t="shared" si="0"/>
        <v>46958</v>
      </c>
      <c r="D16" s="57">
        <v>34</v>
      </c>
      <c r="E16" s="58">
        <f t="shared" si="1"/>
        <v>1596572</v>
      </c>
    </row>
    <row r="17" spans="1:5">
      <c r="A17" s="55" t="s">
        <v>47</v>
      </c>
      <c r="B17" s="56">
        <v>13614.975278</v>
      </c>
      <c r="C17" s="56">
        <f t="shared" si="0"/>
        <v>14023</v>
      </c>
      <c r="D17" s="59">
        <v>34</v>
      </c>
      <c r="E17" s="58">
        <f t="shared" si="1"/>
        <v>476782</v>
      </c>
    </row>
    <row r="18" spans="1:5">
      <c r="A18" s="55" t="s">
        <v>48</v>
      </c>
      <c r="B18" s="56">
        <v>7142.0424540000004</v>
      </c>
      <c r="C18" s="56">
        <f t="shared" si="0"/>
        <v>7356</v>
      </c>
      <c r="D18" s="57">
        <v>180</v>
      </c>
      <c r="E18" s="58">
        <f t="shared" si="1"/>
        <v>1324080</v>
      </c>
    </row>
    <row r="19" spans="1:5">
      <c r="A19" s="55" t="s">
        <v>49</v>
      </c>
      <c r="B19" s="56">
        <v>34723.978412000004</v>
      </c>
      <c r="C19" s="56">
        <f t="shared" si="0"/>
        <v>35766</v>
      </c>
      <c r="D19" s="57">
        <v>34</v>
      </c>
      <c r="E19" s="58">
        <f t="shared" si="1"/>
        <v>1216044</v>
      </c>
    </row>
    <row r="20" spans="1:5">
      <c r="A20" s="55" t="s">
        <v>50</v>
      </c>
      <c r="B20" s="56">
        <v>21233.828628000003</v>
      </c>
      <c r="C20" s="56">
        <f t="shared" si="0"/>
        <v>21871</v>
      </c>
      <c r="D20" s="59">
        <v>5</v>
      </c>
      <c r="E20" s="58">
        <f t="shared" si="1"/>
        <v>109355</v>
      </c>
    </row>
    <row r="21" spans="1:5">
      <c r="A21" s="60" t="s">
        <v>95</v>
      </c>
      <c r="B21" s="56">
        <v>9618.3103620000002</v>
      </c>
      <c r="C21" s="56">
        <f t="shared" si="0"/>
        <v>9907</v>
      </c>
      <c r="D21" s="57">
        <v>5</v>
      </c>
      <c r="E21" s="58">
        <f t="shared" si="1"/>
        <v>49535</v>
      </c>
    </row>
    <row r="22" spans="1:5">
      <c r="B22" s="61" t="s">
        <v>109</v>
      </c>
      <c r="C22" s="132"/>
      <c r="D22" s="62"/>
      <c r="E22" s="63">
        <f>SUM(E10:E21)</f>
        <v>10790206</v>
      </c>
    </row>
    <row r="23" spans="1:5" ht="12.75" customHeight="1"/>
    <row r="24" spans="1:5" ht="31.5" customHeight="1">
      <c r="A24" s="54" t="s">
        <v>2</v>
      </c>
      <c r="B24" s="64" t="s">
        <v>197</v>
      </c>
      <c r="C24" s="131" t="s">
        <v>198</v>
      </c>
      <c r="D24" s="53" t="s">
        <v>107</v>
      </c>
      <c r="E24" s="53" t="s">
        <v>108</v>
      </c>
    </row>
    <row r="25" spans="1:5" ht="25.5">
      <c r="A25" s="65" t="s">
        <v>125</v>
      </c>
      <c r="B25" s="56">
        <v>682419.85114400007</v>
      </c>
      <c r="C25" s="56">
        <f>+ROUND(B25+(B25*$E$4),0)</f>
        <v>702892</v>
      </c>
      <c r="D25" s="57">
        <v>1</v>
      </c>
      <c r="E25" s="58">
        <f>ROUND(C25*D25,0)</f>
        <v>702892</v>
      </c>
    </row>
    <row r="26" spans="1:5" ht="26.25" customHeight="1">
      <c r="A26" s="65" t="s">
        <v>126</v>
      </c>
      <c r="B26" s="56">
        <v>225076.10943800001</v>
      </c>
      <c r="C26" s="56">
        <f t="shared" ref="C26:C38" si="2">+ROUND(B26+(B26*$E$4),0)</f>
        <v>231828</v>
      </c>
      <c r="D26" s="57">
        <v>1</v>
      </c>
      <c r="E26" s="58">
        <f t="shared" ref="E26:E38" si="3">ROUND(C26*D26,0)</f>
        <v>231828</v>
      </c>
    </row>
    <row r="27" spans="1:5">
      <c r="A27" s="55" t="s">
        <v>135</v>
      </c>
      <c r="B27" s="56">
        <v>573072.71840000001</v>
      </c>
      <c r="C27" s="56">
        <f t="shared" si="2"/>
        <v>590265</v>
      </c>
      <c r="D27" s="66">
        <v>1</v>
      </c>
      <c r="E27" s="58">
        <f t="shared" si="3"/>
        <v>590265</v>
      </c>
    </row>
    <row r="28" spans="1:5" ht="38.25">
      <c r="A28" s="65" t="s">
        <v>127</v>
      </c>
      <c r="B28" s="56">
        <v>104463.19472200001</v>
      </c>
      <c r="C28" s="56">
        <f t="shared" si="2"/>
        <v>107597</v>
      </c>
      <c r="D28" s="57">
        <v>1</v>
      </c>
      <c r="E28" s="58">
        <f t="shared" si="3"/>
        <v>107597</v>
      </c>
    </row>
    <row r="29" spans="1:5" ht="38.25">
      <c r="A29" s="65" t="s">
        <v>128</v>
      </c>
      <c r="B29" s="56">
        <v>241205.58746000004</v>
      </c>
      <c r="C29" s="56">
        <f t="shared" si="2"/>
        <v>248442</v>
      </c>
      <c r="D29" s="57">
        <v>1</v>
      </c>
      <c r="E29" s="58">
        <f t="shared" si="3"/>
        <v>248442</v>
      </c>
    </row>
    <row r="30" spans="1:5">
      <c r="A30" s="55" t="s">
        <v>51</v>
      </c>
      <c r="B30" s="56">
        <v>233907.23199999999</v>
      </c>
      <c r="C30" s="56">
        <f t="shared" si="2"/>
        <v>240924</v>
      </c>
      <c r="D30" s="57">
        <v>1</v>
      </c>
      <c r="E30" s="58">
        <f t="shared" si="3"/>
        <v>240924</v>
      </c>
    </row>
    <row r="31" spans="1:5">
      <c r="A31" s="55" t="s">
        <v>136</v>
      </c>
      <c r="B31" s="56">
        <v>725112.4192</v>
      </c>
      <c r="C31" s="56">
        <f t="shared" si="2"/>
        <v>746866</v>
      </c>
      <c r="D31" s="57">
        <v>1</v>
      </c>
      <c r="E31" s="58">
        <f t="shared" si="3"/>
        <v>746866</v>
      </c>
    </row>
    <row r="32" spans="1:5">
      <c r="A32" s="55" t="s">
        <v>52</v>
      </c>
      <c r="B32" s="56">
        <v>58476.807999999997</v>
      </c>
      <c r="C32" s="56">
        <f t="shared" si="2"/>
        <v>60231</v>
      </c>
      <c r="D32" s="57">
        <v>1</v>
      </c>
      <c r="E32" s="58">
        <f t="shared" si="3"/>
        <v>60231</v>
      </c>
    </row>
    <row r="33" spans="1:5">
      <c r="A33" s="55" t="s">
        <v>53</v>
      </c>
      <c r="B33" s="56">
        <v>350860.84800000006</v>
      </c>
      <c r="C33" s="56">
        <f t="shared" si="2"/>
        <v>361387</v>
      </c>
      <c r="D33" s="57">
        <v>1</v>
      </c>
      <c r="E33" s="58">
        <f t="shared" si="3"/>
        <v>361387</v>
      </c>
    </row>
    <row r="34" spans="1:5">
      <c r="A34" s="55" t="s">
        <v>54</v>
      </c>
      <c r="B34" s="56">
        <v>115784.07984000001</v>
      </c>
      <c r="C34" s="56">
        <f t="shared" si="2"/>
        <v>119258</v>
      </c>
      <c r="D34" s="57">
        <v>2</v>
      </c>
      <c r="E34" s="58">
        <f t="shared" si="3"/>
        <v>238516</v>
      </c>
    </row>
    <row r="35" spans="1:5">
      <c r="A35" s="55" t="s">
        <v>55</v>
      </c>
      <c r="B35" s="56">
        <v>1871257.8559999999</v>
      </c>
      <c r="C35" s="56">
        <f t="shared" si="2"/>
        <v>1927396</v>
      </c>
      <c r="D35" s="57">
        <v>1</v>
      </c>
      <c r="E35" s="58">
        <f t="shared" si="3"/>
        <v>1927396</v>
      </c>
    </row>
    <row r="36" spans="1:5">
      <c r="A36" s="55" t="s">
        <v>56</v>
      </c>
      <c r="B36" s="56">
        <v>140344.33920000002</v>
      </c>
      <c r="C36" s="56">
        <f t="shared" si="2"/>
        <v>144555</v>
      </c>
      <c r="D36" s="57">
        <v>1</v>
      </c>
      <c r="E36" s="58">
        <f t="shared" si="3"/>
        <v>144555</v>
      </c>
    </row>
    <row r="37" spans="1:5">
      <c r="A37" s="55" t="s">
        <v>57</v>
      </c>
      <c r="B37" s="56">
        <v>467814.46399999998</v>
      </c>
      <c r="C37" s="56">
        <f t="shared" si="2"/>
        <v>481849</v>
      </c>
      <c r="D37" s="57">
        <v>1</v>
      </c>
      <c r="E37" s="58">
        <f t="shared" si="3"/>
        <v>481849</v>
      </c>
    </row>
    <row r="38" spans="1:5">
      <c r="A38" s="55" t="s">
        <v>58</v>
      </c>
      <c r="B38" s="56">
        <v>201160.21952000004</v>
      </c>
      <c r="C38" s="56">
        <f t="shared" si="2"/>
        <v>207195</v>
      </c>
      <c r="D38" s="57">
        <v>1</v>
      </c>
      <c r="E38" s="58">
        <f t="shared" si="3"/>
        <v>207195</v>
      </c>
    </row>
    <row r="39" spans="1:5" ht="13.5">
      <c r="A39" s="67"/>
      <c r="B39" s="61" t="s">
        <v>109</v>
      </c>
      <c r="C39" s="132"/>
      <c r="D39" s="62"/>
      <c r="E39" s="68">
        <f>SUM(E25:E38)</f>
        <v>6289943</v>
      </c>
    </row>
    <row r="40" spans="1:5">
      <c r="D40" s="69"/>
    </row>
    <row r="41" spans="1:5" ht="30" customHeight="1">
      <c r="A41" s="54" t="s">
        <v>137</v>
      </c>
      <c r="B41" s="53" t="s">
        <v>199</v>
      </c>
      <c r="C41" s="130" t="s">
        <v>198</v>
      </c>
      <c r="D41" s="53" t="s">
        <v>107</v>
      </c>
      <c r="E41" s="53" t="s">
        <v>108</v>
      </c>
    </row>
    <row r="42" spans="1:5">
      <c r="A42" s="55" t="s">
        <v>61</v>
      </c>
      <c r="B42" s="56">
        <v>23390.723200000004</v>
      </c>
      <c r="C42" s="56">
        <f t="shared" ref="C42:C44" si="4">+ROUND(B42+(B42*$E$4),0)</f>
        <v>24092</v>
      </c>
      <c r="D42" s="57">
        <v>4</v>
      </c>
      <c r="E42" s="58">
        <f>ROUND(C42*D42,0)</f>
        <v>96368</v>
      </c>
    </row>
    <row r="43" spans="1:5">
      <c r="A43" s="55" t="s">
        <v>62</v>
      </c>
      <c r="B43" s="56">
        <v>11695.361600000002</v>
      </c>
      <c r="C43" s="56">
        <f t="shared" si="4"/>
        <v>12046</v>
      </c>
      <c r="D43" s="57">
        <v>15</v>
      </c>
      <c r="E43" s="58">
        <f t="shared" ref="E43" si="5">ROUND(C43*D43,0)</f>
        <v>180690</v>
      </c>
    </row>
    <row r="44" spans="1:5">
      <c r="A44" s="55" t="s">
        <v>63</v>
      </c>
      <c r="B44" s="56">
        <v>17543.042400000002</v>
      </c>
      <c r="C44" s="56">
        <f t="shared" si="4"/>
        <v>18069</v>
      </c>
      <c r="D44" s="57">
        <v>6</v>
      </c>
      <c r="E44" s="58">
        <f>ROUND(C44*D44,0)</f>
        <v>108414</v>
      </c>
    </row>
    <row r="45" spans="1:5">
      <c r="B45" s="61" t="s">
        <v>109</v>
      </c>
      <c r="C45" s="132"/>
      <c r="D45" s="62"/>
      <c r="E45" s="63">
        <f>SUM(E42:E44)</f>
        <v>385472</v>
      </c>
    </row>
    <row r="47" spans="1:5" ht="32.25" customHeight="1">
      <c r="A47" s="54" t="s">
        <v>3</v>
      </c>
      <c r="B47" s="53" t="s">
        <v>200</v>
      </c>
      <c r="C47" s="130" t="s">
        <v>198</v>
      </c>
      <c r="D47" s="53" t="s">
        <v>107</v>
      </c>
      <c r="E47" s="53" t="s">
        <v>108</v>
      </c>
    </row>
    <row r="48" spans="1:5">
      <c r="A48" s="55" t="s">
        <v>64</v>
      </c>
      <c r="B48" s="56">
        <v>467814.46399999998</v>
      </c>
      <c r="C48" s="56">
        <f t="shared" ref="C48:C54" si="6">+ROUND(B48+(B48*$E$4),0)</f>
        <v>481849</v>
      </c>
      <c r="D48" s="59">
        <v>1</v>
      </c>
      <c r="E48" s="58">
        <f>ROUND(C48*D48,0)</f>
        <v>481849</v>
      </c>
    </row>
    <row r="49" spans="1:5">
      <c r="A49" s="55" t="s">
        <v>65</v>
      </c>
      <c r="B49" s="56">
        <v>654940.2496000001</v>
      </c>
      <c r="C49" s="56">
        <f t="shared" si="6"/>
        <v>674588</v>
      </c>
      <c r="D49" s="57">
        <v>1</v>
      </c>
      <c r="E49" s="58">
        <f t="shared" ref="E49:E54" si="7">ROUND(C49*D49,0)</f>
        <v>674588</v>
      </c>
    </row>
    <row r="50" spans="1:5">
      <c r="A50" s="55" t="s">
        <v>66</v>
      </c>
      <c r="B50" s="56">
        <v>204668.82800000001</v>
      </c>
      <c r="C50" s="56">
        <f t="shared" si="6"/>
        <v>210809</v>
      </c>
      <c r="D50" s="57">
        <v>1</v>
      </c>
      <c r="E50" s="58">
        <f t="shared" si="7"/>
        <v>210809</v>
      </c>
    </row>
    <row r="51" spans="1:5" ht="38.25">
      <c r="A51" s="65" t="s">
        <v>129</v>
      </c>
      <c r="B51" s="56">
        <v>81867.531200000012</v>
      </c>
      <c r="C51" s="56">
        <f t="shared" si="6"/>
        <v>84324</v>
      </c>
      <c r="D51" s="57">
        <v>1</v>
      </c>
      <c r="E51" s="58">
        <f t="shared" si="7"/>
        <v>84324</v>
      </c>
    </row>
    <row r="52" spans="1:5" ht="38.25">
      <c r="A52" s="65" t="s">
        <v>138</v>
      </c>
      <c r="B52" s="56">
        <v>68958.5</v>
      </c>
      <c r="C52" s="56">
        <f t="shared" si="6"/>
        <v>71027</v>
      </c>
      <c r="D52" s="57">
        <v>1</v>
      </c>
      <c r="E52" s="58">
        <f t="shared" si="7"/>
        <v>71027</v>
      </c>
    </row>
    <row r="53" spans="1:5">
      <c r="A53" s="60" t="s">
        <v>67</v>
      </c>
      <c r="B53" s="56">
        <v>886913.43</v>
      </c>
      <c r="C53" s="56">
        <f t="shared" si="6"/>
        <v>913521</v>
      </c>
      <c r="D53" s="57">
        <v>1</v>
      </c>
      <c r="E53" s="58">
        <f t="shared" si="7"/>
        <v>913521</v>
      </c>
    </row>
    <row r="54" spans="1:5">
      <c r="A54" s="60" t="s">
        <v>68</v>
      </c>
      <c r="B54" s="56">
        <v>350860.84800000006</v>
      </c>
      <c r="C54" s="56">
        <f t="shared" si="6"/>
        <v>361387</v>
      </c>
      <c r="D54" s="59">
        <v>1</v>
      </c>
      <c r="E54" s="58">
        <f t="shared" si="7"/>
        <v>361387</v>
      </c>
    </row>
    <row r="55" spans="1:5">
      <c r="B55" s="61" t="s">
        <v>109</v>
      </c>
      <c r="C55" s="132"/>
      <c r="D55" s="62"/>
      <c r="E55" s="70">
        <f>SUM(E48:E54)</f>
        <v>2797505</v>
      </c>
    </row>
    <row r="57" spans="1:5" ht="32.25" customHeight="1">
      <c r="A57" s="54" t="s">
        <v>139</v>
      </c>
      <c r="B57" s="53" t="s">
        <v>199</v>
      </c>
      <c r="C57" s="130" t="s">
        <v>198</v>
      </c>
      <c r="D57" s="53" t="s">
        <v>107</v>
      </c>
      <c r="E57" s="53" t="s">
        <v>108</v>
      </c>
    </row>
    <row r="58" spans="1:5">
      <c r="A58" s="55" t="s">
        <v>69</v>
      </c>
      <c r="B58" s="56">
        <v>3274.7012480000003</v>
      </c>
      <c r="C58" s="56">
        <f>+ROUND(B58+(B58*$E$4),0)</f>
        <v>3373</v>
      </c>
      <c r="D58" s="57">
        <v>5</v>
      </c>
      <c r="E58" s="58">
        <f>ROUND(C58*D58,0)</f>
        <v>16865</v>
      </c>
    </row>
    <row r="59" spans="1:5">
      <c r="A59" s="55" t="s">
        <v>70</v>
      </c>
      <c r="B59" s="56">
        <v>5847.680800000001</v>
      </c>
      <c r="C59" s="56">
        <f t="shared" ref="C59:C70" si="8">+ROUND(B59+(B59*$E$4),0)</f>
        <v>6023</v>
      </c>
      <c r="D59" s="57">
        <v>15</v>
      </c>
      <c r="E59" s="58">
        <f t="shared" ref="E59:E70" si="9">ROUND(C59*D59,0)</f>
        <v>90345</v>
      </c>
    </row>
    <row r="60" spans="1:5">
      <c r="A60" s="55" t="s">
        <v>213</v>
      </c>
      <c r="B60" s="56">
        <v>292384.03999999998</v>
      </c>
      <c r="C60" s="56">
        <f t="shared" si="8"/>
        <v>301156</v>
      </c>
      <c r="D60" s="57">
        <v>1</v>
      </c>
      <c r="E60" s="58">
        <f t="shared" si="9"/>
        <v>301156</v>
      </c>
    </row>
    <row r="61" spans="1:5">
      <c r="A61" s="55" t="s">
        <v>71</v>
      </c>
      <c r="B61" s="56">
        <v>1459.671092</v>
      </c>
      <c r="C61" s="56">
        <f t="shared" si="8"/>
        <v>1503</v>
      </c>
      <c r="D61" s="59">
        <v>15</v>
      </c>
      <c r="E61" s="58">
        <f t="shared" si="9"/>
        <v>22545</v>
      </c>
    </row>
    <row r="62" spans="1:5">
      <c r="A62" s="55" t="s">
        <v>72</v>
      </c>
      <c r="B62" s="56">
        <v>1459.671092</v>
      </c>
      <c r="C62" s="56">
        <f t="shared" si="8"/>
        <v>1503</v>
      </c>
      <c r="D62" s="59">
        <v>15</v>
      </c>
      <c r="E62" s="58">
        <f t="shared" si="9"/>
        <v>22545</v>
      </c>
    </row>
    <row r="63" spans="1:5">
      <c r="A63" s="60" t="s">
        <v>74</v>
      </c>
      <c r="B63" s="56">
        <v>6057.9723979999999</v>
      </c>
      <c r="C63" s="56">
        <f t="shared" si="8"/>
        <v>6240</v>
      </c>
      <c r="D63" s="59">
        <v>15</v>
      </c>
      <c r="E63" s="58">
        <f t="shared" si="9"/>
        <v>93600</v>
      </c>
    </row>
    <row r="64" spans="1:5">
      <c r="A64" s="55" t="s">
        <v>140</v>
      </c>
      <c r="B64" s="56">
        <v>1459.671092</v>
      </c>
      <c r="C64" s="56">
        <f t="shared" si="8"/>
        <v>1503</v>
      </c>
      <c r="D64" s="59">
        <v>15</v>
      </c>
      <c r="E64" s="58">
        <f t="shared" si="9"/>
        <v>22545</v>
      </c>
    </row>
    <row r="65" spans="1:5">
      <c r="A65" s="55" t="s">
        <v>141</v>
      </c>
      <c r="B65" s="56">
        <v>4465.6039339999998</v>
      </c>
      <c r="C65" s="56">
        <f t="shared" si="8"/>
        <v>4600</v>
      </c>
      <c r="D65" s="59">
        <v>4</v>
      </c>
      <c r="E65" s="58">
        <f t="shared" si="9"/>
        <v>18400</v>
      </c>
    </row>
    <row r="66" spans="1:5">
      <c r="A66" s="55" t="s">
        <v>73</v>
      </c>
      <c r="B66" s="56">
        <v>11695.361600000002</v>
      </c>
      <c r="C66" s="56">
        <f t="shared" si="8"/>
        <v>12046</v>
      </c>
      <c r="D66" s="57">
        <v>3</v>
      </c>
      <c r="E66" s="58">
        <f t="shared" si="9"/>
        <v>36138</v>
      </c>
    </row>
    <row r="67" spans="1:5">
      <c r="A67" s="55" t="s">
        <v>75</v>
      </c>
      <c r="B67" s="56">
        <v>3508.6084800000003</v>
      </c>
      <c r="C67" s="56">
        <f t="shared" si="8"/>
        <v>3614</v>
      </c>
      <c r="D67" s="57">
        <v>5</v>
      </c>
      <c r="E67" s="58">
        <f t="shared" si="9"/>
        <v>18070</v>
      </c>
    </row>
    <row r="68" spans="1:5">
      <c r="A68" s="55" t="s">
        <v>76</v>
      </c>
      <c r="B68" s="56">
        <v>3274.7012480000003</v>
      </c>
      <c r="C68" s="56">
        <f t="shared" si="8"/>
        <v>3373</v>
      </c>
      <c r="D68" s="57">
        <v>6</v>
      </c>
      <c r="E68" s="58">
        <f t="shared" si="9"/>
        <v>20238</v>
      </c>
    </row>
    <row r="69" spans="1:5">
      <c r="A69" s="55" t="s">
        <v>77</v>
      </c>
      <c r="B69" s="56">
        <v>8186.7531200000003</v>
      </c>
      <c r="C69" s="56">
        <f t="shared" si="8"/>
        <v>8432</v>
      </c>
      <c r="D69" s="57">
        <v>6</v>
      </c>
      <c r="E69" s="58">
        <f t="shared" si="9"/>
        <v>50592</v>
      </c>
    </row>
    <row r="70" spans="1:5">
      <c r="A70" s="55" t="s">
        <v>78</v>
      </c>
      <c r="B70" s="56">
        <v>3508.6084800000003</v>
      </c>
      <c r="C70" s="56">
        <f t="shared" si="8"/>
        <v>3614</v>
      </c>
      <c r="D70" s="57">
        <v>4</v>
      </c>
      <c r="E70" s="58">
        <f t="shared" si="9"/>
        <v>14456</v>
      </c>
    </row>
    <row r="71" spans="1:5">
      <c r="A71" s="71"/>
      <c r="B71" s="61" t="s">
        <v>109</v>
      </c>
      <c r="C71" s="132"/>
      <c r="D71" s="62"/>
      <c r="E71" s="70">
        <f>SUM(E58:E70)</f>
        <v>727495</v>
      </c>
    </row>
    <row r="72" spans="1:5">
      <c r="A72" s="71"/>
      <c r="D72" s="2"/>
      <c r="E72" s="2"/>
    </row>
    <row r="73" spans="1:5" ht="15.75">
      <c r="A73" s="165" t="s">
        <v>172</v>
      </c>
      <c r="B73" s="165"/>
      <c r="C73" s="165"/>
      <c r="D73" s="165"/>
      <c r="E73" s="72">
        <f>+E22+E39+E45+E55+E71</f>
        <v>20990621</v>
      </c>
    </row>
    <row r="74" spans="1:5">
      <c r="A74" s="71"/>
    </row>
    <row r="75" spans="1:5">
      <c r="A75" s="73"/>
      <c r="B75" s="74"/>
      <c r="C75" s="74"/>
      <c r="D75" s="73"/>
      <c r="E75" s="73"/>
    </row>
    <row r="76" spans="1:5">
      <c r="A76" s="73"/>
      <c r="B76" s="73"/>
      <c r="C76" s="73"/>
      <c r="D76" s="73"/>
      <c r="E76" s="73"/>
    </row>
    <row r="77" spans="1:5">
      <c r="A77" s="73"/>
      <c r="B77" s="74"/>
      <c r="C77" s="74"/>
      <c r="D77" s="73"/>
      <c r="E77" s="73"/>
    </row>
    <row r="78" spans="1:5">
      <c r="A78" s="73"/>
      <c r="B78" s="73"/>
      <c r="C78" s="73"/>
      <c r="D78" s="73"/>
      <c r="E78" s="73"/>
    </row>
    <row r="79" spans="1:5">
      <c r="A79" s="73"/>
      <c r="B79" s="73"/>
      <c r="C79" s="73"/>
      <c r="D79" s="73"/>
      <c r="E79" s="73"/>
    </row>
    <row r="80" spans="1:5">
      <c r="A80" s="73"/>
      <c r="B80" s="73"/>
      <c r="C80" s="73"/>
      <c r="D80" s="73"/>
      <c r="E80" s="73"/>
    </row>
    <row r="81" spans="1:5">
      <c r="A81" s="73"/>
      <c r="B81" s="74"/>
      <c r="C81" s="74"/>
      <c r="D81" s="73"/>
      <c r="E81" s="73"/>
    </row>
  </sheetData>
  <mergeCells count="8">
    <mergeCell ref="A73:D73"/>
    <mergeCell ref="A1:E1"/>
    <mergeCell ref="D8:D9"/>
    <mergeCell ref="E8:E9"/>
    <mergeCell ref="B8:B9"/>
    <mergeCell ref="B4:D4"/>
    <mergeCell ref="B3:E3"/>
    <mergeCell ref="C8:C9"/>
  </mergeCells>
  <pageMargins left="0.70866141732283472" right="0.70866141732283472" top="0.74803149606299213" bottom="0.74803149606299213" header="0.31496062992125984" footer="0.31496062992125984"/>
  <pageSetup scale="69" orientation="portrait" r:id="rId1"/>
  <rowBreaks count="1" manualBreakCount="1">
    <brk id="46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showGridLines="0" view="pageBreakPreview" zoomScale="130" zoomScaleNormal="100" zoomScaleSheetLayoutView="130" workbookViewId="0">
      <selection activeCell="E82" sqref="E82"/>
    </sheetView>
  </sheetViews>
  <sheetFormatPr baseColWidth="10" defaultRowHeight="12.75"/>
  <cols>
    <col min="1" max="1" width="70.140625" style="45" customWidth="1"/>
    <col min="2" max="3" width="15" style="45" customWidth="1"/>
    <col min="4" max="4" width="15.7109375" style="45" customWidth="1"/>
    <col min="5" max="5" width="17" style="45" customWidth="1"/>
    <col min="6" max="6" width="5.5703125" style="45" customWidth="1"/>
    <col min="7" max="16384" width="11.42578125" style="45"/>
  </cols>
  <sheetData>
    <row r="1" spans="1:5" ht="37.5" customHeight="1">
      <c r="A1" s="166" t="s">
        <v>113</v>
      </c>
      <c r="B1" s="166"/>
      <c r="C1" s="166"/>
      <c r="D1" s="166"/>
      <c r="E1" s="166"/>
    </row>
    <row r="2" spans="1:5">
      <c r="A2" s="44"/>
    </row>
    <row r="3" spans="1:5">
      <c r="A3" s="47"/>
      <c r="B3" s="170">
        <v>2015</v>
      </c>
      <c r="C3" s="171"/>
      <c r="D3" s="171"/>
      <c r="E3" s="172"/>
    </row>
    <row r="4" spans="1:5">
      <c r="A4" s="47"/>
      <c r="B4" s="167" t="s">
        <v>160</v>
      </c>
      <c r="C4" s="168"/>
      <c r="D4" s="169"/>
      <c r="E4" s="48">
        <v>0.03</v>
      </c>
    </row>
    <row r="5" spans="1:5">
      <c r="A5" s="71"/>
    </row>
    <row r="6" spans="1:5" ht="15.75" customHeight="1">
      <c r="A6" s="75" t="s">
        <v>94</v>
      </c>
      <c r="B6" s="75"/>
      <c r="C6" s="75"/>
      <c r="D6" s="75"/>
      <c r="E6" s="75"/>
    </row>
    <row r="7" spans="1:5" ht="15.75">
      <c r="A7" s="76" t="s">
        <v>106</v>
      </c>
      <c r="B7" s="76"/>
      <c r="C7" s="76"/>
      <c r="D7" s="76"/>
      <c r="E7" s="76"/>
    </row>
    <row r="8" spans="1:5">
      <c r="A8" s="173" t="s">
        <v>40</v>
      </c>
    </row>
    <row r="9" spans="1:5">
      <c r="A9" s="174"/>
    </row>
    <row r="10" spans="1:5" ht="36.75" customHeight="1">
      <c r="A10" s="54" t="s">
        <v>130</v>
      </c>
      <c r="B10" s="53" t="s">
        <v>199</v>
      </c>
      <c r="C10" s="130" t="s">
        <v>198</v>
      </c>
      <c r="D10" s="53" t="s">
        <v>107</v>
      </c>
      <c r="E10" s="53" t="s">
        <v>108</v>
      </c>
    </row>
    <row r="11" spans="1:5">
      <c r="A11" s="55" t="s">
        <v>114</v>
      </c>
      <c r="B11" s="56">
        <v>1428.1835800000001</v>
      </c>
      <c r="C11" s="56">
        <f>+ROUND(B11+(B11*$E$4),0)</f>
        <v>1471</v>
      </c>
      <c r="D11" s="57">
        <v>15</v>
      </c>
      <c r="E11" s="77">
        <f>ROUND(C11*D11,0)</f>
        <v>22065</v>
      </c>
    </row>
    <row r="12" spans="1:5">
      <c r="A12" s="55" t="s">
        <v>79</v>
      </c>
      <c r="B12" s="56">
        <v>25729.795520000003</v>
      </c>
      <c r="C12" s="56">
        <f t="shared" ref="C12:C21" si="0">+ROUND(B12+(B12*$E$4),0)</f>
        <v>26502</v>
      </c>
      <c r="D12" s="57">
        <v>1</v>
      </c>
      <c r="E12" s="77">
        <f t="shared" ref="E12:E20" si="1">ROUND(C12*D12,0)</f>
        <v>26502</v>
      </c>
    </row>
    <row r="13" spans="1:5">
      <c r="A13" s="55" t="s">
        <v>80</v>
      </c>
      <c r="B13" s="56">
        <v>3339.9253800000001</v>
      </c>
      <c r="C13" s="56">
        <f t="shared" si="0"/>
        <v>3440</v>
      </c>
      <c r="D13" s="57">
        <v>15</v>
      </c>
      <c r="E13" s="77">
        <f t="shared" si="1"/>
        <v>51600</v>
      </c>
    </row>
    <row r="14" spans="1:5">
      <c r="A14" s="55" t="s">
        <v>81</v>
      </c>
      <c r="B14" s="56">
        <v>3297.1923280000001</v>
      </c>
      <c r="C14" s="56">
        <f t="shared" si="0"/>
        <v>3396</v>
      </c>
      <c r="D14" s="57">
        <v>2</v>
      </c>
      <c r="E14" s="77">
        <f t="shared" si="1"/>
        <v>6792</v>
      </c>
    </row>
    <row r="15" spans="1:5">
      <c r="A15" s="55" t="s">
        <v>82</v>
      </c>
      <c r="B15" s="56">
        <v>1403.4433920000001</v>
      </c>
      <c r="C15" s="56">
        <f t="shared" si="0"/>
        <v>1446</v>
      </c>
      <c r="D15" s="57">
        <v>15</v>
      </c>
      <c r="E15" s="77">
        <f t="shared" si="1"/>
        <v>21690</v>
      </c>
    </row>
    <row r="16" spans="1:5">
      <c r="A16" s="55" t="s">
        <v>83</v>
      </c>
      <c r="B16" s="56">
        <v>409.33765600000004</v>
      </c>
      <c r="C16" s="56">
        <f t="shared" si="0"/>
        <v>422</v>
      </c>
      <c r="D16" s="57">
        <v>120</v>
      </c>
      <c r="E16" s="77">
        <f t="shared" si="1"/>
        <v>50640</v>
      </c>
    </row>
    <row r="17" spans="1:6">
      <c r="A17" s="55" t="s">
        <v>0</v>
      </c>
      <c r="B17" s="56">
        <v>35086.084800000004</v>
      </c>
      <c r="C17" s="56">
        <f t="shared" si="0"/>
        <v>36139</v>
      </c>
      <c r="D17" s="57">
        <v>1</v>
      </c>
      <c r="E17" s="77">
        <f>ROUND(C17*D17,0)</f>
        <v>36139</v>
      </c>
    </row>
    <row r="18" spans="1:6">
      <c r="A18" s="55" t="s">
        <v>84</v>
      </c>
      <c r="B18" s="56">
        <v>1988.2114720000002</v>
      </c>
      <c r="C18" s="56">
        <f t="shared" si="0"/>
        <v>2048</v>
      </c>
      <c r="D18" s="57">
        <v>5</v>
      </c>
      <c r="E18" s="77">
        <f t="shared" si="1"/>
        <v>10240</v>
      </c>
    </row>
    <row r="19" spans="1:6">
      <c r="A19" s="55" t="s">
        <v>185</v>
      </c>
      <c r="B19" s="56">
        <v>25383.432887999999</v>
      </c>
      <c r="C19" s="56">
        <f t="shared" si="0"/>
        <v>26145</v>
      </c>
      <c r="D19" s="57">
        <f>ROUND(((15*3*30)/30)*70%,0)</f>
        <v>32</v>
      </c>
      <c r="E19" s="77">
        <f t="shared" si="1"/>
        <v>836640</v>
      </c>
    </row>
    <row r="20" spans="1:6">
      <c r="A20" s="55" t="s">
        <v>115</v>
      </c>
      <c r="B20" s="56">
        <v>2923.8404000000005</v>
      </c>
      <c r="C20" s="56">
        <f t="shared" si="0"/>
        <v>3012</v>
      </c>
      <c r="D20" s="57">
        <v>2</v>
      </c>
      <c r="E20" s="77">
        <f t="shared" si="1"/>
        <v>6024</v>
      </c>
    </row>
    <row r="21" spans="1:6">
      <c r="A21" s="55" t="s">
        <v>85</v>
      </c>
      <c r="B21" s="56">
        <v>1412.4398240000003</v>
      </c>
      <c r="C21" s="56">
        <f t="shared" si="0"/>
        <v>1455</v>
      </c>
      <c r="D21" s="57">
        <v>15</v>
      </c>
      <c r="E21" s="77">
        <f>ROUND(C21*D21,0)</f>
        <v>21825</v>
      </c>
      <c r="F21" s="78"/>
    </row>
    <row r="22" spans="1:6">
      <c r="B22" s="61" t="s">
        <v>109</v>
      </c>
      <c r="C22" s="132"/>
      <c r="D22" s="62"/>
      <c r="E22" s="70">
        <f>SUM(E11:E21)</f>
        <v>1090157</v>
      </c>
    </row>
    <row r="23" spans="1:6">
      <c r="B23" s="74"/>
      <c r="C23" s="74"/>
      <c r="D23" s="78"/>
    </row>
    <row r="24" spans="1:6" ht="25.5">
      <c r="A24" s="54" t="s">
        <v>124</v>
      </c>
      <c r="B24" s="130" t="s">
        <v>199</v>
      </c>
      <c r="C24" s="130" t="s">
        <v>198</v>
      </c>
      <c r="D24" s="53" t="s">
        <v>107</v>
      </c>
      <c r="E24" s="53" t="s">
        <v>108</v>
      </c>
    </row>
    <row r="25" spans="1:6">
      <c r="A25" s="45" t="s">
        <v>116</v>
      </c>
      <c r="B25" s="56">
        <v>29609.41</v>
      </c>
      <c r="C25" s="56">
        <f t="shared" ref="C25:C26" si="2">+ROUND(B25+(B25*$E$4),0)</f>
        <v>30498</v>
      </c>
      <c r="D25" s="57">
        <v>2</v>
      </c>
      <c r="E25" s="77">
        <f>ROUND(C25*D25,0)</f>
        <v>60996</v>
      </c>
    </row>
    <row r="26" spans="1:6">
      <c r="A26" s="55" t="s">
        <v>117</v>
      </c>
      <c r="B26" s="56">
        <v>10413.299999999999</v>
      </c>
      <c r="C26" s="56">
        <f t="shared" si="2"/>
        <v>10726</v>
      </c>
      <c r="D26" s="57">
        <v>5</v>
      </c>
      <c r="E26" s="77">
        <f t="shared" ref="E26" si="3">ROUND(C26*D26,0)</f>
        <v>53630</v>
      </c>
    </row>
    <row r="27" spans="1:6">
      <c r="A27" s="55" t="s">
        <v>118</v>
      </c>
      <c r="B27" s="56">
        <v>1506.9414999999999</v>
      </c>
      <c r="C27" s="56">
        <f>+ROUND(B27+(B27*$E$4),0)</f>
        <v>1552</v>
      </c>
      <c r="D27" s="57">
        <v>4</v>
      </c>
      <c r="E27" s="77">
        <f>ROUND(C27*D27,0)</f>
        <v>6208</v>
      </c>
    </row>
    <row r="28" spans="1:6">
      <c r="B28" s="61" t="s">
        <v>109</v>
      </c>
      <c r="C28" s="132"/>
      <c r="D28" s="62"/>
      <c r="E28" s="70">
        <f>SUM(E25:E27)</f>
        <v>120834</v>
      </c>
    </row>
    <row r="29" spans="1:6">
      <c r="B29" s="74"/>
      <c r="C29" s="74"/>
      <c r="D29" s="78"/>
    </row>
    <row r="30" spans="1:6" ht="27" customHeight="1">
      <c r="A30" s="54" t="s">
        <v>142</v>
      </c>
      <c r="B30" s="130" t="s">
        <v>199</v>
      </c>
      <c r="C30" s="130" t="s">
        <v>198</v>
      </c>
      <c r="D30" s="53" t="s">
        <v>107</v>
      </c>
      <c r="E30" s="53" t="s">
        <v>108</v>
      </c>
    </row>
    <row r="31" spans="1:6">
      <c r="A31" s="55" t="s">
        <v>86</v>
      </c>
      <c r="B31" s="56">
        <v>760.19850400000007</v>
      </c>
      <c r="C31" s="56">
        <f t="shared" ref="C31:C45" si="4">+ROUND(B31+(B31*$E$4),0)</f>
        <v>783</v>
      </c>
      <c r="D31" s="57">
        <v>2</v>
      </c>
      <c r="E31" s="77">
        <f>ROUND(C31*D31,0)</f>
        <v>1566</v>
      </c>
    </row>
    <row r="32" spans="1:6">
      <c r="A32" s="55" t="s">
        <v>87</v>
      </c>
      <c r="B32" s="56">
        <v>52.854037999999996</v>
      </c>
      <c r="C32" s="56">
        <f t="shared" si="4"/>
        <v>54</v>
      </c>
      <c r="D32" s="57">
        <v>50</v>
      </c>
      <c r="E32" s="77">
        <f t="shared" ref="E32:E44" si="5">ROUND(C32*D32,0)</f>
        <v>2700</v>
      </c>
    </row>
    <row r="33" spans="1:6">
      <c r="A33" s="55" t="s">
        <v>143</v>
      </c>
      <c r="B33" s="56">
        <v>210.29159800000002</v>
      </c>
      <c r="C33" s="56">
        <f t="shared" si="4"/>
        <v>217</v>
      </c>
      <c r="D33" s="57">
        <v>3</v>
      </c>
      <c r="E33" s="77">
        <f t="shared" si="5"/>
        <v>651</v>
      </c>
    </row>
    <row r="34" spans="1:6">
      <c r="A34" s="55" t="s">
        <v>144</v>
      </c>
      <c r="B34" s="56">
        <v>116.95361600000003</v>
      </c>
      <c r="C34" s="56">
        <f t="shared" si="4"/>
        <v>120</v>
      </c>
      <c r="D34" s="57">
        <v>12</v>
      </c>
      <c r="E34" s="77">
        <f t="shared" si="5"/>
        <v>1440</v>
      </c>
    </row>
    <row r="35" spans="1:6">
      <c r="A35" s="55" t="s">
        <v>88</v>
      </c>
      <c r="B35" s="56">
        <v>8186.7531200000003</v>
      </c>
      <c r="C35" s="56">
        <f t="shared" si="4"/>
        <v>8432</v>
      </c>
      <c r="D35" s="57">
        <v>2</v>
      </c>
      <c r="E35" s="77">
        <f t="shared" si="5"/>
        <v>16864</v>
      </c>
    </row>
    <row r="36" spans="1:6">
      <c r="A36" s="55" t="s">
        <v>89</v>
      </c>
      <c r="B36" s="56">
        <v>935.6289280000002</v>
      </c>
      <c r="C36" s="56">
        <f t="shared" si="4"/>
        <v>964</v>
      </c>
      <c r="D36" s="57">
        <v>15</v>
      </c>
      <c r="E36" s="77">
        <f t="shared" si="5"/>
        <v>14460</v>
      </c>
    </row>
    <row r="37" spans="1:6">
      <c r="A37" s="55" t="s">
        <v>90</v>
      </c>
      <c r="B37" s="56">
        <v>818.67531200000008</v>
      </c>
      <c r="C37" s="56">
        <f t="shared" si="4"/>
        <v>843</v>
      </c>
      <c r="D37" s="57">
        <v>10</v>
      </c>
      <c r="E37" s="77">
        <f t="shared" si="5"/>
        <v>8430</v>
      </c>
      <c r="F37" s="127"/>
    </row>
    <row r="38" spans="1:6">
      <c r="A38" s="55" t="s">
        <v>91</v>
      </c>
      <c r="B38" s="56">
        <v>1520.3970080000001</v>
      </c>
      <c r="C38" s="56">
        <f t="shared" si="4"/>
        <v>1566</v>
      </c>
      <c r="D38" s="57">
        <v>1</v>
      </c>
      <c r="E38" s="77">
        <f t="shared" si="5"/>
        <v>1566</v>
      </c>
    </row>
    <row r="39" spans="1:6">
      <c r="A39" s="55" t="s">
        <v>92</v>
      </c>
      <c r="B39" s="56">
        <v>169.80765400000001</v>
      </c>
      <c r="C39" s="56">
        <f t="shared" si="4"/>
        <v>175</v>
      </c>
      <c r="D39" s="57">
        <v>15</v>
      </c>
      <c r="E39" s="77">
        <f t="shared" si="5"/>
        <v>2625</v>
      </c>
    </row>
    <row r="40" spans="1:6">
      <c r="A40" s="55" t="s">
        <v>93</v>
      </c>
      <c r="B40" s="56">
        <v>3508.6084800000003</v>
      </c>
      <c r="C40" s="56">
        <f t="shared" si="4"/>
        <v>3614</v>
      </c>
      <c r="D40" s="57">
        <v>1</v>
      </c>
      <c r="E40" s="77">
        <f t="shared" si="5"/>
        <v>3614</v>
      </c>
    </row>
    <row r="41" spans="1:6">
      <c r="A41" s="55" t="s">
        <v>183</v>
      </c>
      <c r="B41" s="56">
        <v>10300</v>
      </c>
      <c r="C41" s="56">
        <f t="shared" si="4"/>
        <v>10609</v>
      </c>
      <c r="D41" s="57">
        <v>1</v>
      </c>
      <c r="E41" s="77">
        <f t="shared" si="5"/>
        <v>10609</v>
      </c>
    </row>
    <row r="42" spans="1:6">
      <c r="A42" s="55" t="s">
        <v>182</v>
      </c>
      <c r="B42" s="56">
        <v>7879.5</v>
      </c>
      <c r="C42" s="56">
        <f t="shared" si="4"/>
        <v>8116</v>
      </c>
      <c r="D42" s="57">
        <v>3</v>
      </c>
      <c r="E42" s="77">
        <f t="shared" si="5"/>
        <v>24348</v>
      </c>
    </row>
    <row r="43" spans="1:6">
      <c r="A43" s="55" t="s">
        <v>184</v>
      </c>
      <c r="B43" s="56">
        <v>5253</v>
      </c>
      <c r="C43" s="56">
        <f t="shared" si="4"/>
        <v>5411</v>
      </c>
      <c r="D43" s="57">
        <v>3</v>
      </c>
      <c r="E43" s="77">
        <f t="shared" si="5"/>
        <v>16233</v>
      </c>
    </row>
    <row r="44" spans="1:6">
      <c r="A44" s="55" t="s">
        <v>180</v>
      </c>
      <c r="B44" s="56">
        <v>618</v>
      </c>
      <c r="C44" s="56">
        <f t="shared" si="4"/>
        <v>637</v>
      </c>
      <c r="D44" s="57">
        <v>6</v>
      </c>
      <c r="E44" s="77">
        <f t="shared" si="5"/>
        <v>3822</v>
      </c>
    </row>
    <row r="45" spans="1:6">
      <c r="A45" s="55" t="s">
        <v>181</v>
      </c>
      <c r="B45" s="56">
        <v>1545</v>
      </c>
      <c r="C45" s="56">
        <f t="shared" si="4"/>
        <v>1591</v>
      </c>
      <c r="D45" s="57">
        <v>6</v>
      </c>
      <c r="E45" s="77">
        <f>ROUND(C45*D45,0)</f>
        <v>9546</v>
      </c>
    </row>
    <row r="46" spans="1:6">
      <c r="A46" s="55" t="s">
        <v>179</v>
      </c>
      <c r="B46" s="79"/>
      <c r="C46" s="79"/>
      <c r="D46" s="57"/>
      <c r="E46" s="77">
        <f>30900+(30900*3%)</f>
        <v>31827</v>
      </c>
    </row>
    <row r="47" spans="1:6">
      <c r="B47" s="61" t="s">
        <v>109</v>
      </c>
      <c r="C47" s="132"/>
      <c r="D47" s="62"/>
      <c r="E47" s="70">
        <f>SUM(E31:E46)</f>
        <v>150301</v>
      </c>
    </row>
    <row r="49" spans="1:6" ht="27" customHeight="1">
      <c r="A49" s="54" t="s">
        <v>177</v>
      </c>
      <c r="B49" s="130" t="s">
        <v>199</v>
      </c>
      <c r="C49" s="130" t="s">
        <v>198</v>
      </c>
      <c r="D49" s="53" t="s">
        <v>107</v>
      </c>
      <c r="E49" s="53" t="s">
        <v>108</v>
      </c>
    </row>
    <row r="50" spans="1:6">
      <c r="A50" s="55" t="s">
        <v>6</v>
      </c>
      <c r="B50" s="56">
        <v>4093376.56</v>
      </c>
      <c r="C50" s="56">
        <f t="shared" ref="C50:C56" si="6">+ROUND(B50+(B50*$E$4),0)</f>
        <v>4216178</v>
      </c>
      <c r="D50" s="57">
        <v>1</v>
      </c>
      <c r="E50" s="77">
        <f>ROUND(C50*D50,0)</f>
        <v>4216178</v>
      </c>
    </row>
    <row r="51" spans="1:6">
      <c r="A51" s="55" t="s">
        <v>37</v>
      </c>
      <c r="B51" s="56">
        <v>3274701.2480000001</v>
      </c>
      <c r="C51" s="56">
        <f t="shared" si="6"/>
        <v>3372942</v>
      </c>
      <c r="D51" s="57">
        <v>1</v>
      </c>
      <c r="E51" s="77">
        <f t="shared" ref="E51:E55" si="7">ROUND(C51*D51,0)</f>
        <v>3372942</v>
      </c>
    </row>
    <row r="52" spans="1:6">
      <c r="A52" s="55" t="s">
        <v>145</v>
      </c>
      <c r="B52" s="56">
        <v>1594956.0627540001</v>
      </c>
      <c r="C52" s="56">
        <f t="shared" si="6"/>
        <v>1642805</v>
      </c>
      <c r="D52" s="57">
        <v>2</v>
      </c>
      <c r="E52" s="77">
        <f t="shared" si="7"/>
        <v>3285610</v>
      </c>
    </row>
    <row r="53" spans="1:6">
      <c r="A53" s="55" t="s">
        <v>146</v>
      </c>
      <c r="B53" s="56">
        <v>1181448.5605220001</v>
      </c>
      <c r="C53" s="56">
        <f t="shared" si="6"/>
        <v>1216892</v>
      </c>
      <c r="D53" s="57">
        <v>2</v>
      </c>
      <c r="E53" s="77">
        <f>ROUND(C53*D53,0)</f>
        <v>2433784</v>
      </c>
    </row>
    <row r="54" spans="1:6">
      <c r="A54" s="55" t="s">
        <v>147</v>
      </c>
      <c r="B54" s="56">
        <v>3274701.2480000001</v>
      </c>
      <c r="C54" s="56">
        <f t="shared" si="6"/>
        <v>3372942</v>
      </c>
      <c r="D54" s="57">
        <v>1</v>
      </c>
      <c r="E54" s="77">
        <f t="shared" si="7"/>
        <v>3372942</v>
      </c>
    </row>
    <row r="55" spans="1:6">
      <c r="A55" s="55" t="s">
        <v>8</v>
      </c>
      <c r="B55" s="56">
        <v>1005801.0976000001</v>
      </c>
      <c r="C55" s="56">
        <f t="shared" si="6"/>
        <v>1035975</v>
      </c>
      <c r="D55" s="57">
        <v>1</v>
      </c>
      <c r="E55" s="77">
        <f t="shared" si="7"/>
        <v>1035975</v>
      </c>
    </row>
    <row r="56" spans="1:6">
      <c r="A56" s="55" t="s">
        <v>7</v>
      </c>
      <c r="B56" s="56">
        <v>1005801.0976000001</v>
      </c>
      <c r="C56" s="56">
        <f t="shared" si="6"/>
        <v>1035975</v>
      </c>
      <c r="D56" s="57">
        <v>1</v>
      </c>
      <c r="E56" s="77">
        <f>ROUND(C56*D56,0)</f>
        <v>1035975</v>
      </c>
    </row>
    <row r="57" spans="1:6" ht="22.5" customHeight="1">
      <c r="A57" s="80" t="s">
        <v>148</v>
      </c>
      <c r="B57" s="81" t="s">
        <v>109</v>
      </c>
      <c r="C57" s="133"/>
      <c r="D57" s="82"/>
      <c r="E57" s="70">
        <f>SUM(E50:E56)</f>
        <v>18753406</v>
      </c>
    </row>
    <row r="58" spans="1:6">
      <c r="A58" s="83"/>
    </row>
    <row r="59" spans="1:6" ht="25.5">
      <c r="A59" s="54" t="s">
        <v>176</v>
      </c>
      <c r="B59" s="130" t="s">
        <v>199</v>
      </c>
      <c r="C59" s="130" t="s">
        <v>198</v>
      </c>
      <c r="D59" s="53" t="s">
        <v>107</v>
      </c>
      <c r="E59" s="53" t="s">
        <v>108</v>
      </c>
    </row>
    <row r="60" spans="1:6">
      <c r="A60" s="55" t="s">
        <v>4</v>
      </c>
      <c r="B60" s="56">
        <f>310564.704518+100000</f>
        <v>410564.70451800001</v>
      </c>
      <c r="C60" s="56">
        <f t="shared" ref="C60:C61" si="8">+ROUND(B60+(B60*$E$4),0)</f>
        <v>422882</v>
      </c>
      <c r="D60" s="57">
        <v>1</v>
      </c>
      <c r="E60" s="77">
        <f>ROUND(C60*D60,0)</f>
        <v>422882</v>
      </c>
    </row>
    <row r="61" spans="1:6">
      <c r="A61" s="55" t="s">
        <v>5</v>
      </c>
      <c r="B61" s="56">
        <v>1056317</v>
      </c>
      <c r="C61" s="56">
        <f t="shared" si="8"/>
        <v>1088007</v>
      </c>
      <c r="D61" s="57">
        <v>1</v>
      </c>
      <c r="E61" s="77">
        <f>ROUND(C61*D61,0)</f>
        <v>1088007</v>
      </c>
      <c r="F61" s="127"/>
    </row>
    <row r="62" spans="1:6">
      <c r="A62" s="83"/>
      <c r="B62" s="61" t="s">
        <v>109</v>
      </c>
      <c r="C62" s="132"/>
      <c r="D62" s="62"/>
      <c r="E62" s="70">
        <f>SUM(E60:E61)</f>
        <v>1510889</v>
      </c>
    </row>
    <row r="63" spans="1:6">
      <c r="A63" s="83"/>
    </row>
    <row r="64" spans="1:6">
      <c r="A64" s="83"/>
    </row>
    <row r="65" spans="1:5" ht="29.25" customHeight="1">
      <c r="A65" s="54" t="s">
        <v>149</v>
      </c>
      <c r="B65" s="130" t="s">
        <v>199</v>
      </c>
      <c r="C65" s="130" t="s">
        <v>198</v>
      </c>
      <c r="D65" s="53" t="s">
        <v>107</v>
      </c>
      <c r="E65" s="53" t="s">
        <v>108</v>
      </c>
    </row>
    <row r="66" spans="1:5">
      <c r="A66" s="84" t="s">
        <v>9</v>
      </c>
      <c r="B66" s="55"/>
      <c r="C66" s="55"/>
      <c r="D66" s="55"/>
      <c r="E66" s="55"/>
    </row>
    <row r="67" spans="1:5">
      <c r="A67" s="55" t="s">
        <v>10</v>
      </c>
      <c r="B67" s="56">
        <v>1329.2228280000002</v>
      </c>
      <c r="C67" s="56">
        <f t="shared" ref="C67:C72" si="9">+ROUND(B67+(B67*$E$4),0)</f>
        <v>1369</v>
      </c>
      <c r="D67" s="85">
        <v>15</v>
      </c>
      <c r="E67" s="77">
        <f>ROUND(C67*D67,0)</f>
        <v>20535</v>
      </c>
    </row>
    <row r="68" spans="1:5">
      <c r="A68" s="55" t="s">
        <v>11</v>
      </c>
      <c r="B68" s="56">
        <v>719.71456000000012</v>
      </c>
      <c r="C68" s="56">
        <f t="shared" si="9"/>
        <v>741</v>
      </c>
      <c r="D68" s="85">
        <v>15</v>
      </c>
      <c r="E68" s="77">
        <f t="shared" ref="E68:E72" si="10">ROUND(C68*D68,0)</f>
        <v>11115</v>
      </c>
    </row>
    <row r="69" spans="1:5">
      <c r="A69" s="55" t="s">
        <v>12</v>
      </c>
      <c r="B69" s="56">
        <v>2210.8731640000005</v>
      </c>
      <c r="C69" s="56">
        <f t="shared" si="9"/>
        <v>2277</v>
      </c>
      <c r="D69" s="85">
        <v>15</v>
      </c>
      <c r="E69" s="77">
        <f t="shared" si="10"/>
        <v>34155</v>
      </c>
    </row>
    <row r="70" spans="1:5">
      <c r="A70" s="55" t="s">
        <v>13</v>
      </c>
      <c r="B70" s="56">
        <v>863.6574720000001</v>
      </c>
      <c r="C70" s="56">
        <f t="shared" si="9"/>
        <v>890</v>
      </c>
      <c r="D70" s="85">
        <v>15</v>
      </c>
      <c r="E70" s="77">
        <f t="shared" si="10"/>
        <v>13350</v>
      </c>
    </row>
    <row r="71" spans="1:5">
      <c r="A71" s="55" t="s">
        <v>14</v>
      </c>
      <c r="B71" s="56">
        <v>1925.2364480000001</v>
      </c>
      <c r="C71" s="56">
        <f t="shared" si="9"/>
        <v>1983</v>
      </c>
      <c r="D71" s="85">
        <v>15</v>
      </c>
      <c r="E71" s="77">
        <f t="shared" si="10"/>
        <v>29745</v>
      </c>
    </row>
    <row r="72" spans="1:5">
      <c r="A72" s="55" t="s">
        <v>15</v>
      </c>
      <c r="B72" s="56">
        <v>1329.2228280000002</v>
      </c>
      <c r="C72" s="56">
        <f t="shared" si="9"/>
        <v>1369</v>
      </c>
      <c r="D72" s="85">
        <v>15</v>
      </c>
      <c r="E72" s="77">
        <f t="shared" si="10"/>
        <v>20535</v>
      </c>
    </row>
    <row r="73" spans="1:5">
      <c r="A73" s="71"/>
      <c r="B73" s="81" t="s">
        <v>109</v>
      </c>
      <c r="C73" s="133"/>
      <c r="D73" s="82"/>
      <c r="E73" s="70">
        <f>SUM(E67:E72)*30</f>
        <v>3883050</v>
      </c>
    </row>
    <row r="74" spans="1:5">
      <c r="A74" s="71"/>
    </row>
    <row r="75" spans="1:5" ht="33" customHeight="1">
      <c r="A75" s="54" t="s">
        <v>104</v>
      </c>
      <c r="B75" s="130" t="s">
        <v>199</v>
      </c>
      <c r="C75" s="130" t="s">
        <v>198</v>
      </c>
      <c r="D75" s="53" t="s">
        <v>107</v>
      </c>
      <c r="E75" s="53" t="s">
        <v>108</v>
      </c>
    </row>
    <row r="76" spans="1:5">
      <c r="A76" s="86" t="s">
        <v>150</v>
      </c>
      <c r="B76" s="55"/>
      <c r="C76" s="55"/>
      <c r="D76" s="87"/>
      <c r="E76" s="87"/>
    </row>
    <row r="77" spans="1:5">
      <c r="A77" s="55" t="s">
        <v>100</v>
      </c>
      <c r="B77" s="56">
        <v>15320.923696000002</v>
      </c>
      <c r="C77" s="56">
        <f t="shared" ref="C77:C81" si="11">+ROUND(B77+(B77*$E$4),0)</f>
        <v>15781</v>
      </c>
      <c r="D77" s="55">
        <v>105</v>
      </c>
      <c r="E77" s="77">
        <f>+'FASE II -DETALLE FORMULA'!G11</f>
        <v>1841</v>
      </c>
    </row>
    <row r="78" spans="1:5">
      <c r="A78" s="55" t="s">
        <v>151</v>
      </c>
      <c r="B78" s="56">
        <v>10174.964592</v>
      </c>
      <c r="C78" s="56">
        <f t="shared" si="11"/>
        <v>10480</v>
      </c>
      <c r="D78" s="55">
        <v>25</v>
      </c>
      <c r="E78" s="77">
        <f>+'FASE II -DETALLE FORMULA'!G12</f>
        <v>262</v>
      </c>
    </row>
    <row r="79" spans="1:5">
      <c r="A79" s="55" t="s">
        <v>101</v>
      </c>
      <c r="B79" s="56">
        <v>1520.3970080000001</v>
      </c>
      <c r="C79" s="56">
        <f t="shared" si="11"/>
        <v>1566</v>
      </c>
      <c r="D79" s="55">
        <v>30</v>
      </c>
      <c r="E79" s="77">
        <f>+'FASE II -DETALLE FORMULA'!G13</f>
        <v>94</v>
      </c>
    </row>
    <row r="80" spans="1:5">
      <c r="A80" s="55" t="s">
        <v>152</v>
      </c>
      <c r="B80" s="56">
        <v>1169.5361600000001</v>
      </c>
      <c r="C80" s="56">
        <f t="shared" si="11"/>
        <v>1205</v>
      </c>
      <c r="D80" s="55">
        <v>43</v>
      </c>
      <c r="E80" s="77">
        <f>+'FASE II -DETALLE FORMULA'!G14</f>
        <v>104</v>
      </c>
    </row>
    <row r="81" spans="1:5">
      <c r="A81" s="55" t="s">
        <v>102</v>
      </c>
      <c r="B81" s="56">
        <v>28887.543152000006</v>
      </c>
      <c r="C81" s="56">
        <f t="shared" si="11"/>
        <v>29754</v>
      </c>
      <c r="D81" s="55">
        <v>20</v>
      </c>
      <c r="E81" s="77">
        <f>+'FASE II -DETALLE FORMULA'!G15</f>
        <v>1982</v>
      </c>
    </row>
    <row r="82" spans="1:5">
      <c r="A82" s="88" t="s">
        <v>28</v>
      </c>
      <c r="B82" s="56"/>
      <c r="C82" s="56"/>
      <c r="D82" s="55"/>
      <c r="E82" s="77">
        <f>+'FASE II -DETALLE FORMULA'!G16</f>
        <v>4283</v>
      </c>
    </row>
    <row r="83" spans="1:5">
      <c r="A83" s="88" t="s">
        <v>30</v>
      </c>
      <c r="B83" s="56"/>
      <c r="C83" s="56"/>
      <c r="D83" s="58"/>
      <c r="E83" s="77">
        <f>+'FASE II -DETALLE FORMULA'!H17</f>
        <v>5568</v>
      </c>
    </row>
    <row r="84" spans="1:5">
      <c r="A84" s="88" t="s">
        <v>187</v>
      </c>
      <c r="B84" s="56"/>
      <c r="C84" s="56"/>
      <c r="D84" s="55"/>
      <c r="E84" s="58">
        <f>+'FASE II -DETALLE FORMULA'!I18</f>
        <v>83520</v>
      </c>
    </row>
    <row r="85" spans="1:5">
      <c r="A85" s="89"/>
      <c r="B85" s="81" t="s">
        <v>109</v>
      </c>
      <c r="C85" s="133"/>
      <c r="D85" s="82"/>
      <c r="E85" s="90">
        <f>+'FASE II -DETALLE FORMULA'!J19</f>
        <v>2505600</v>
      </c>
    </row>
    <row r="86" spans="1:5">
      <c r="A86" s="91"/>
    </row>
    <row r="87" spans="1:5" ht="27" customHeight="1">
      <c r="A87" s="54" t="s">
        <v>105</v>
      </c>
      <c r="B87" s="130" t="s">
        <v>199</v>
      </c>
      <c r="C87" s="130" t="s">
        <v>198</v>
      </c>
      <c r="D87" s="64" t="s">
        <v>107</v>
      </c>
      <c r="E87" s="64" t="s">
        <v>108</v>
      </c>
    </row>
    <row r="88" spans="1:5">
      <c r="A88" s="60" t="s">
        <v>178</v>
      </c>
      <c r="B88" s="56">
        <v>4795.0982560000002</v>
      </c>
      <c r="C88" s="56">
        <f t="shared" ref="C88:C89" si="12">+ROUND(B88+(B88*$E$4),0)</f>
        <v>4939</v>
      </c>
      <c r="D88" s="59">
        <v>5</v>
      </c>
      <c r="E88" s="77">
        <f>ROUND(C88*D88,0)</f>
        <v>24695</v>
      </c>
    </row>
    <row r="89" spans="1:5">
      <c r="A89" s="55" t="s">
        <v>38</v>
      </c>
      <c r="B89" s="56">
        <v>16548.936664000001</v>
      </c>
      <c r="C89" s="56">
        <f t="shared" si="12"/>
        <v>17045</v>
      </c>
      <c r="D89" s="57">
        <v>15</v>
      </c>
      <c r="E89" s="77">
        <f t="shared" ref="E89" si="13">ROUND(C89*D89,0)</f>
        <v>255675</v>
      </c>
    </row>
    <row r="90" spans="1:5">
      <c r="A90" s="55" t="s">
        <v>186</v>
      </c>
      <c r="B90" s="56">
        <v>8227.125</v>
      </c>
      <c r="C90" s="56">
        <f>+ROUND(B90+(B90*$E$4),0)</f>
        <v>8474</v>
      </c>
      <c r="D90" s="57">
        <f>(30*15)/100</f>
        <v>4.5</v>
      </c>
      <c r="E90" s="77">
        <f>ROUND(C90*D90,0)</f>
        <v>38133</v>
      </c>
    </row>
    <row r="91" spans="1:5" ht="13.5">
      <c r="A91" s="67" t="s">
        <v>103</v>
      </c>
      <c r="B91" s="81" t="s">
        <v>109</v>
      </c>
      <c r="C91" s="133"/>
      <c r="D91" s="82"/>
      <c r="E91" s="92">
        <f>SUM(E88:E90)</f>
        <v>318503</v>
      </c>
    </row>
    <row r="93" spans="1:5" ht="25.5">
      <c r="A93" s="54" t="s">
        <v>153</v>
      </c>
      <c r="B93" s="130" t="s">
        <v>199</v>
      </c>
      <c r="C93" s="130" t="s">
        <v>198</v>
      </c>
      <c r="D93" s="53" t="s">
        <v>107</v>
      </c>
      <c r="E93" s="53" t="s">
        <v>108</v>
      </c>
    </row>
    <row r="94" spans="1:5">
      <c r="A94" s="93" t="s">
        <v>154</v>
      </c>
      <c r="B94" s="128">
        <v>1085302</v>
      </c>
      <c r="C94" s="56">
        <f>+ROUND(B94+(B94*$E$4),0)</f>
        <v>1117861</v>
      </c>
      <c r="D94" s="94">
        <v>1</v>
      </c>
      <c r="E94" s="77">
        <f>ROUND(C94*D94,0)</f>
        <v>1117861</v>
      </c>
    </row>
    <row r="95" spans="1:5">
      <c r="A95" s="73"/>
      <c r="B95" s="81" t="s">
        <v>109</v>
      </c>
      <c r="C95" s="133"/>
      <c r="D95" s="82"/>
      <c r="E95" s="95">
        <f>SUM(E94)</f>
        <v>1117861</v>
      </c>
    </row>
    <row r="96" spans="1:5">
      <c r="A96" s="73"/>
      <c r="B96" s="73"/>
      <c r="C96" s="73"/>
      <c r="D96" s="73"/>
      <c r="E96" s="73"/>
    </row>
    <row r="97" spans="1:5" ht="15.75">
      <c r="A97" s="96" t="s">
        <v>173</v>
      </c>
      <c r="B97" s="96"/>
      <c r="C97" s="96"/>
      <c r="D97" s="96"/>
      <c r="E97" s="97">
        <f>+E22+E28+E47+E57+E62+E73+E85+E91+E95</f>
        <v>29450601</v>
      </c>
    </row>
    <row r="98" spans="1:5">
      <c r="A98" s="73"/>
      <c r="B98" s="98"/>
      <c r="C98" s="98"/>
      <c r="D98" s="98"/>
      <c r="E98" s="74"/>
    </row>
    <row r="99" spans="1:5">
      <c r="A99" s="73"/>
      <c r="B99" s="73"/>
      <c r="C99" s="73"/>
      <c r="D99" s="73"/>
      <c r="E99" s="73"/>
    </row>
    <row r="100" spans="1:5">
      <c r="A100" s="73"/>
      <c r="B100" s="73"/>
      <c r="C100" s="73"/>
      <c r="D100" s="73"/>
      <c r="E100" s="73"/>
    </row>
    <row r="101" spans="1:5">
      <c r="A101" s="74"/>
      <c r="B101" s="73"/>
      <c r="C101" s="73"/>
      <c r="D101" s="73"/>
      <c r="E101" s="73"/>
    </row>
    <row r="102" spans="1:5">
      <c r="A102" s="73"/>
      <c r="B102" s="73"/>
      <c r="C102" s="73"/>
      <c r="D102" s="73"/>
      <c r="E102" s="73"/>
    </row>
    <row r="103" spans="1:5">
      <c r="A103" s="73"/>
      <c r="B103" s="73"/>
      <c r="C103" s="73"/>
      <c r="D103" s="73"/>
      <c r="E103" s="73"/>
    </row>
    <row r="104" spans="1:5">
      <c r="A104" s="73"/>
      <c r="B104" s="74"/>
      <c r="C104" s="74"/>
      <c r="D104" s="73"/>
      <c r="E104" s="73"/>
    </row>
    <row r="105" spans="1:5">
      <c r="A105" s="73"/>
      <c r="B105" s="73"/>
      <c r="C105" s="73"/>
      <c r="D105" s="73"/>
      <c r="E105" s="73"/>
    </row>
    <row r="106" spans="1:5">
      <c r="A106" s="73"/>
      <c r="B106" s="74"/>
      <c r="C106" s="74"/>
      <c r="D106" s="73"/>
      <c r="E106" s="73"/>
    </row>
    <row r="107" spans="1:5">
      <c r="A107" s="73"/>
      <c r="B107" s="73"/>
      <c r="C107" s="73"/>
      <c r="D107" s="73"/>
      <c r="E107" s="73"/>
    </row>
    <row r="108" spans="1:5">
      <c r="A108" s="73"/>
      <c r="B108" s="73"/>
      <c r="C108" s="73"/>
      <c r="D108" s="73"/>
      <c r="E108" s="73"/>
    </row>
    <row r="109" spans="1:5">
      <c r="A109" s="73"/>
      <c r="B109" s="73"/>
      <c r="C109" s="73"/>
      <c r="D109" s="73"/>
      <c r="E109" s="73"/>
    </row>
    <row r="110" spans="1:5">
      <c r="A110" s="73"/>
      <c r="B110" s="74"/>
      <c r="C110" s="74"/>
      <c r="D110" s="73"/>
      <c r="E110" s="73"/>
    </row>
  </sheetData>
  <mergeCells count="4">
    <mergeCell ref="A1:E1"/>
    <mergeCell ref="A8:A9"/>
    <mergeCell ref="B4:D4"/>
    <mergeCell ref="B3:E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Normal="100" workbookViewId="0">
      <selection activeCell="B8" sqref="B8"/>
    </sheetView>
  </sheetViews>
  <sheetFormatPr baseColWidth="10" defaultRowHeight="12.75"/>
  <cols>
    <col min="1" max="1" width="45.5703125" style="2" bestFit="1" customWidth="1"/>
    <col min="2" max="2" width="17.28515625" style="2" bestFit="1" customWidth="1"/>
    <col min="3" max="3" width="13" style="2" customWidth="1"/>
    <col min="4" max="4" width="12" style="2" bestFit="1" customWidth="1"/>
    <col min="5" max="5" width="12" style="2" customWidth="1"/>
    <col min="6" max="8" width="11.5703125" style="2" bestFit="1" customWidth="1"/>
    <col min="9" max="9" width="11.85546875" style="2" bestFit="1" customWidth="1"/>
    <col min="10" max="10" width="18.42578125" style="2" bestFit="1" customWidth="1"/>
    <col min="11" max="16384" width="11.42578125" style="2"/>
  </cols>
  <sheetData>
    <row r="1" spans="1:15" ht="15.75">
      <c r="A1" s="180" t="s">
        <v>155</v>
      </c>
      <c r="B1" s="180"/>
      <c r="C1" s="180"/>
      <c r="D1" s="180"/>
      <c r="E1" s="180"/>
      <c r="F1" s="180"/>
      <c r="G1" s="180"/>
      <c r="H1" s="180"/>
      <c r="I1" s="180"/>
      <c r="J1" s="180"/>
      <c r="K1" s="99"/>
      <c r="L1" s="99"/>
      <c r="M1" s="99"/>
      <c r="N1" s="99"/>
      <c r="O1" s="99"/>
    </row>
    <row r="6" spans="1:15" ht="15.75">
      <c r="A6" s="175">
        <v>2015</v>
      </c>
      <c r="B6" s="175"/>
      <c r="C6" s="175"/>
      <c r="D6" s="175"/>
      <c r="E6" s="175"/>
      <c r="F6" s="175"/>
      <c r="G6" s="175"/>
      <c r="H6" s="175"/>
      <c r="I6" s="175"/>
      <c r="J6" s="175"/>
    </row>
    <row r="8" spans="1:15">
      <c r="A8" s="7" t="s">
        <v>201</v>
      </c>
      <c r="B8" s="100">
        <v>0.03</v>
      </c>
    </row>
    <row r="9" spans="1:15" ht="12.75" customHeight="1">
      <c r="A9" s="101" t="s">
        <v>27</v>
      </c>
      <c r="B9" s="176" t="s">
        <v>156</v>
      </c>
      <c r="C9" s="176"/>
      <c r="D9" s="176"/>
      <c r="E9" s="181" t="s">
        <v>203</v>
      </c>
      <c r="F9" s="140" t="s">
        <v>29</v>
      </c>
      <c r="G9" s="140"/>
      <c r="H9" s="177" t="s">
        <v>31</v>
      </c>
      <c r="I9" s="178"/>
      <c r="J9" s="179"/>
    </row>
    <row r="10" spans="1:15" ht="40.5" customHeight="1">
      <c r="A10" s="102" t="s">
        <v>157</v>
      </c>
      <c r="B10" s="25" t="s">
        <v>97</v>
      </c>
      <c r="C10" s="25" t="s">
        <v>96</v>
      </c>
      <c r="D10" s="25" t="s">
        <v>202</v>
      </c>
      <c r="E10" s="182"/>
      <c r="F10" s="25" t="s">
        <v>99</v>
      </c>
      <c r="G10" s="25" t="s">
        <v>98</v>
      </c>
      <c r="H10" s="25" t="s">
        <v>98</v>
      </c>
      <c r="I10" s="25" t="s">
        <v>32</v>
      </c>
      <c r="J10" s="25" t="s">
        <v>33</v>
      </c>
    </row>
    <row r="11" spans="1:15">
      <c r="A11" s="16" t="s">
        <v>22</v>
      </c>
      <c r="B11" s="16" t="s">
        <v>21</v>
      </c>
      <c r="C11" s="15">
        <v>900</v>
      </c>
      <c r="D11" s="103">
        <v>15321</v>
      </c>
      <c r="E11" s="103">
        <f>ROUND(D11+D11*$B$8,0)</f>
        <v>15781</v>
      </c>
      <c r="F11" s="16">
        <v>105</v>
      </c>
      <c r="G11" s="103">
        <f>ROUND((E11*F11/C11),0)</f>
        <v>1841</v>
      </c>
      <c r="H11" s="16"/>
      <c r="I11" s="16"/>
      <c r="J11" s="16"/>
    </row>
    <row r="12" spans="1:15">
      <c r="A12" s="16" t="s">
        <v>158</v>
      </c>
      <c r="B12" s="16" t="s">
        <v>23</v>
      </c>
      <c r="C12" s="15">
        <v>1000</v>
      </c>
      <c r="D12" s="103">
        <v>10175</v>
      </c>
      <c r="E12" s="103">
        <f t="shared" ref="E12:E15" si="0">ROUND(D12+D12*$B$8,0)</f>
        <v>10480</v>
      </c>
      <c r="F12" s="16">
        <v>25</v>
      </c>
      <c r="G12" s="103">
        <f>ROUND((E12*F12/C12),0)</f>
        <v>262</v>
      </c>
      <c r="H12" s="16"/>
      <c r="I12" s="16"/>
      <c r="J12" s="16"/>
    </row>
    <row r="13" spans="1:15">
      <c r="A13" s="16" t="s">
        <v>16</v>
      </c>
      <c r="B13" s="16" t="s">
        <v>24</v>
      </c>
      <c r="C13" s="15">
        <v>500</v>
      </c>
      <c r="D13" s="103">
        <v>1520</v>
      </c>
      <c r="E13" s="103">
        <f t="shared" si="0"/>
        <v>1566</v>
      </c>
      <c r="F13" s="16">
        <v>30</v>
      </c>
      <c r="G13" s="103">
        <f t="shared" ref="G13" si="1">ROUND((E13*F13/C13),0)</f>
        <v>94</v>
      </c>
      <c r="H13" s="16"/>
      <c r="I13" s="16"/>
      <c r="J13" s="16"/>
    </row>
    <row r="14" spans="1:15">
      <c r="A14" s="16" t="s">
        <v>159</v>
      </c>
      <c r="B14" s="16" t="s">
        <v>24</v>
      </c>
      <c r="C14" s="15">
        <v>500</v>
      </c>
      <c r="D14" s="103">
        <v>1170</v>
      </c>
      <c r="E14" s="103">
        <f t="shared" si="0"/>
        <v>1205</v>
      </c>
      <c r="F14" s="16">
        <v>43</v>
      </c>
      <c r="G14" s="103">
        <f>ROUND((E14*F14/C14),0)</f>
        <v>104</v>
      </c>
      <c r="H14" s="16"/>
      <c r="I14" s="16"/>
      <c r="J14" s="16"/>
    </row>
    <row r="15" spans="1:15">
      <c r="A15" s="16" t="s">
        <v>25</v>
      </c>
      <c r="B15" s="16" t="s">
        <v>26</v>
      </c>
      <c r="C15" s="15">
        <v>300</v>
      </c>
      <c r="D15" s="103">
        <v>28865</v>
      </c>
      <c r="E15" s="103">
        <f t="shared" si="0"/>
        <v>29731</v>
      </c>
      <c r="F15" s="16">
        <v>20</v>
      </c>
      <c r="G15" s="103">
        <f>ROUND((E15*F15/C15),0)</f>
        <v>1982</v>
      </c>
      <c r="H15" s="16"/>
      <c r="I15" s="16"/>
      <c r="J15" s="16"/>
    </row>
    <row r="16" spans="1:15">
      <c r="A16" s="104" t="s">
        <v>28</v>
      </c>
      <c r="B16" s="16"/>
      <c r="C16" s="15"/>
      <c r="D16" s="105"/>
      <c r="E16" s="105"/>
      <c r="F16" s="16"/>
      <c r="G16" s="106">
        <f>SUM(G11:G15)</f>
        <v>4283</v>
      </c>
      <c r="H16" s="106"/>
      <c r="I16" s="106"/>
      <c r="J16" s="16"/>
    </row>
    <row r="17" spans="1:10">
      <c r="A17" s="104" t="s">
        <v>30</v>
      </c>
      <c r="B17" s="107"/>
      <c r="C17" s="108"/>
      <c r="D17" s="109"/>
      <c r="E17" s="109"/>
      <c r="F17" s="107"/>
      <c r="G17" s="110"/>
      <c r="H17" s="106">
        <f>ROUND(G16*1300/1000,0)</f>
        <v>5568</v>
      </c>
      <c r="I17" s="106"/>
      <c r="J17" s="16"/>
    </row>
    <row r="18" spans="1:10">
      <c r="A18" s="104" t="s">
        <v>187</v>
      </c>
      <c r="B18" s="16"/>
      <c r="C18" s="15"/>
      <c r="D18" s="109"/>
      <c r="E18" s="109"/>
      <c r="F18" s="16"/>
      <c r="G18" s="110"/>
      <c r="H18" s="106"/>
      <c r="I18" s="106">
        <f>+H17*15</f>
        <v>83520</v>
      </c>
      <c r="J18" s="16"/>
    </row>
    <row r="19" spans="1:10">
      <c r="A19" s="104" t="s">
        <v>19</v>
      </c>
      <c r="B19" s="16"/>
      <c r="C19" s="15"/>
      <c r="D19" s="109"/>
      <c r="E19" s="109"/>
      <c r="F19" s="16"/>
      <c r="G19" s="111"/>
      <c r="H19" s="16"/>
      <c r="I19" s="16"/>
      <c r="J19" s="112">
        <f>+I18*30</f>
        <v>2505600</v>
      </c>
    </row>
  </sheetData>
  <mergeCells count="6">
    <mergeCell ref="A6:J6"/>
    <mergeCell ref="B9:D9"/>
    <mergeCell ref="F9:G9"/>
    <mergeCell ref="H9:J9"/>
    <mergeCell ref="A1:J1"/>
    <mergeCell ref="E9:E10"/>
  </mergeCells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"/>
  <sheetViews>
    <sheetView zoomScaleNormal="100" workbookViewId="0">
      <selection activeCell="O23" sqref="O23"/>
    </sheetView>
  </sheetViews>
  <sheetFormatPr baseColWidth="10" defaultRowHeight="13.5"/>
  <cols>
    <col min="1" max="1" width="3" style="2" bestFit="1" customWidth="1"/>
    <col min="2" max="12" width="2.7109375" style="2" bestFit="1" customWidth="1"/>
    <col min="13" max="13" width="7.7109375" style="2" bestFit="1" customWidth="1"/>
    <col min="14" max="14" width="13.28515625" style="2" bestFit="1" customWidth="1"/>
    <col min="15" max="15" width="12" style="2" bestFit="1" customWidth="1"/>
    <col min="16" max="17" width="15.140625" style="2" bestFit="1" customWidth="1"/>
    <col min="18" max="18" width="14.7109375" style="2" bestFit="1" customWidth="1"/>
    <col min="19" max="19" width="12.85546875" style="2" customWidth="1"/>
    <col min="20" max="24" width="3" style="2" bestFit="1" customWidth="1"/>
    <col min="25" max="25" width="7.28515625" style="23" bestFit="1" customWidth="1"/>
    <col min="26" max="26" width="11.42578125" style="113" customWidth="1"/>
    <col min="27" max="27" width="12.5703125" style="113" customWidth="1"/>
    <col min="28" max="28" width="11.42578125" style="113" bestFit="1" customWidth="1"/>
    <col min="29" max="29" width="12.42578125" style="114" customWidth="1"/>
    <col min="30" max="31" width="11.42578125" style="114" bestFit="1" customWidth="1"/>
    <col min="32" max="32" width="11.28515625" style="114" customWidth="1"/>
    <col min="33" max="34" width="11.42578125" style="114" bestFit="1" customWidth="1"/>
    <col min="35" max="35" width="11.85546875" style="114" customWidth="1"/>
    <col min="36" max="61" width="11.42578125" style="114" bestFit="1" customWidth="1"/>
    <col min="62" max="63" width="12.42578125" style="114" bestFit="1" customWidth="1"/>
    <col min="64" max="64" width="14.85546875" style="113" bestFit="1" customWidth="1"/>
    <col min="65" max="65" width="12.85546875" style="2" bestFit="1" customWidth="1"/>
    <col min="66" max="66" width="13.7109375" style="2" customWidth="1"/>
    <col min="67" max="16384" width="11.42578125" style="2"/>
  </cols>
  <sheetData>
    <row r="1" spans="1:64" ht="15.75">
      <c r="A1" s="180" t="s">
        <v>112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99"/>
      <c r="T1" s="99"/>
      <c r="U1" s="99"/>
    </row>
    <row r="3" spans="1:64">
      <c r="A3" s="2" t="s">
        <v>161</v>
      </c>
      <c r="B3" s="5"/>
    </row>
    <row r="5" spans="1:64">
      <c r="A5" s="150" t="s">
        <v>35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51"/>
      <c r="M5" s="181" t="s">
        <v>109</v>
      </c>
    </row>
    <row r="6" spans="1:64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5">
        <v>10</v>
      </c>
      <c r="K6" s="115">
        <v>11</v>
      </c>
      <c r="L6" s="115">
        <v>12</v>
      </c>
      <c r="M6" s="182"/>
    </row>
    <row r="7" spans="1:64" s="125" customFormat="1" ht="25.5">
      <c r="A7" s="122">
        <v>15</v>
      </c>
      <c r="B7" s="122">
        <v>15</v>
      </c>
      <c r="C7" s="122">
        <v>15</v>
      </c>
      <c r="D7" s="122">
        <v>15</v>
      </c>
      <c r="E7" s="122">
        <v>15</v>
      </c>
      <c r="F7" s="122">
        <v>15</v>
      </c>
      <c r="G7" s="123">
        <v>15</v>
      </c>
      <c r="H7" s="123">
        <v>15</v>
      </c>
      <c r="I7" s="123">
        <v>15</v>
      </c>
      <c r="J7" s="123">
        <v>15</v>
      </c>
      <c r="K7" s="123">
        <v>15</v>
      </c>
      <c r="L7" s="123">
        <v>15</v>
      </c>
      <c r="M7" s="124">
        <f>SUM(A7:L7)</f>
        <v>180</v>
      </c>
      <c r="N7" s="25" t="s">
        <v>162</v>
      </c>
      <c r="O7" s="25" t="s">
        <v>163</v>
      </c>
      <c r="P7" s="25" t="s">
        <v>212</v>
      </c>
      <c r="Q7" s="2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</row>
    <row r="8" spans="1:64">
      <c r="A8" s="117">
        <v>15</v>
      </c>
      <c r="B8" s="116">
        <v>15</v>
      </c>
      <c r="C8" s="116">
        <v>15</v>
      </c>
      <c r="D8" s="116">
        <v>15</v>
      </c>
      <c r="E8" s="116">
        <v>15</v>
      </c>
      <c r="F8" s="116">
        <v>15</v>
      </c>
      <c r="G8" s="116">
        <v>15</v>
      </c>
      <c r="H8" s="117">
        <v>15</v>
      </c>
      <c r="I8" s="117">
        <v>15</v>
      </c>
      <c r="J8" s="117">
        <v>15</v>
      </c>
      <c r="K8" s="117">
        <v>15</v>
      </c>
      <c r="L8" s="117">
        <v>15</v>
      </c>
      <c r="M8" s="15">
        <f t="shared" ref="M8:M12" si="0">SUM(A8:L8)</f>
        <v>180</v>
      </c>
      <c r="N8" s="15" t="s">
        <v>164</v>
      </c>
      <c r="O8" s="15">
        <f>+O10*20%</f>
        <v>18</v>
      </c>
      <c r="P8" s="15">
        <f>+O8*10</f>
        <v>180</v>
      </c>
    </row>
    <row r="9" spans="1:64">
      <c r="A9" s="117">
        <v>15</v>
      </c>
      <c r="B9" s="117">
        <v>15</v>
      </c>
      <c r="C9" s="116">
        <v>15</v>
      </c>
      <c r="D9" s="116">
        <v>15</v>
      </c>
      <c r="E9" s="116">
        <v>15</v>
      </c>
      <c r="F9" s="116">
        <v>15</v>
      </c>
      <c r="G9" s="116">
        <v>15</v>
      </c>
      <c r="H9" s="116">
        <v>15</v>
      </c>
      <c r="I9" s="117">
        <v>15</v>
      </c>
      <c r="J9" s="117">
        <v>15</v>
      </c>
      <c r="K9" s="117">
        <v>15</v>
      </c>
      <c r="L9" s="117">
        <v>15</v>
      </c>
      <c r="M9" s="15">
        <f t="shared" si="0"/>
        <v>180</v>
      </c>
      <c r="N9" s="15" t="s">
        <v>110</v>
      </c>
      <c r="O9" s="15">
        <f>90*80%</f>
        <v>72</v>
      </c>
      <c r="P9" s="15">
        <f>+O9*10</f>
        <v>720</v>
      </c>
    </row>
    <row r="10" spans="1:64">
      <c r="A10" s="117">
        <v>15</v>
      </c>
      <c r="B10" s="117">
        <v>15</v>
      </c>
      <c r="C10" s="117">
        <v>15</v>
      </c>
      <c r="D10" s="116">
        <v>15</v>
      </c>
      <c r="E10" s="116">
        <v>15</v>
      </c>
      <c r="F10" s="116">
        <v>15</v>
      </c>
      <c r="G10" s="116">
        <v>15</v>
      </c>
      <c r="H10" s="116">
        <v>15</v>
      </c>
      <c r="I10" s="116">
        <v>15</v>
      </c>
      <c r="J10" s="117">
        <v>15</v>
      </c>
      <c r="K10" s="117">
        <v>15</v>
      </c>
      <c r="L10" s="117">
        <v>15</v>
      </c>
      <c r="M10" s="15">
        <f t="shared" si="0"/>
        <v>180</v>
      </c>
      <c r="N10" s="7" t="s">
        <v>109</v>
      </c>
      <c r="O10" s="101">
        <v>90</v>
      </c>
      <c r="P10" s="101">
        <f>SUM(P8:P9)</f>
        <v>900</v>
      </c>
    </row>
    <row r="11" spans="1:64">
      <c r="A11" s="117">
        <v>15</v>
      </c>
      <c r="B11" s="117">
        <v>15</v>
      </c>
      <c r="C11" s="117">
        <v>15</v>
      </c>
      <c r="D11" s="117">
        <v>15</v>
      </c>
      <c r="E11" s="116">
        <v>15</v>
      </c>
      <c r="F11" s="116">
        <v>15</v>
      </c>
      <c r="G11" s="116">
        <v>15</v>
      </c>
      <c r="H11" s="116">
        <v>15</v>
      </c>
      <c r="I11" s="116">
        <v>15</v>
      </c>
      <c r="J11" s="116">
        <v>15</v>
      </c>
      <c r="K11" s="117">
        <v>15</v>
      </c>
      <c r="L11" s="117">
        <v>15</v>
      </c>
      <c r="M11" s="15">
        <f t="shared" si="0"/>
        <v>180</v>
      </c>
    </row>
    <row r="12" spans="1:64">
      <c r="A12" s="117">
        <v>15</v>
      </c>
      <c r="B12" s="117">
        <v>15</v>
      </c>
      <c r="C12" s="117">
        <v>15</v>
      </c>
      <c r="D12" s="117">
        <v>15</v>
      </c>
      <c r="E12" s="117">
        <v>15</v>
      </c>
      <c r="F12" s="116">
        <v>15</v>
      </c>
      <c r="G12" s="116">
        <v>15</v>
      </c>
      <c r="H12" s="116">
        <v>15</v>
      </c>
      <c r="I12" s="116">
        <v>15</v>
      </c>
      <c r="J12" s="116">
        <v>15</v>
      </c>
      <c r="K12" s="116">
        <v>15</v>
      </c>
      <c r="L12" s="117">
        <v>15</v>
      </c>
      <c r="M12" s="15">
        <f t="shared" si="0"/>
        <v>180</v>
      </c>
    </row>
    <row r="13" spans="1:64" ht="16.5">
      <c r="A13" s="16">
        <f>SUM(A7:A12)</f>
        <v>90</v>
      </c>
      <c r="B13" s="16">
        <f t="shared" ref="B13:L13" si="1">SUM(B7:B12)</f>
        <v>90</v>
      </c>
      <c r="C13" s="16">
        <f t="shared" si="1"/>
        <v>90</v>
      </c>
      <c r="D13" s="16">
        <f t="shared" si="1"/>
        <v>90</v>
      </c>
      <c r="E13" s="16">
        <f t="shared" si="1"/>
        <v>90</v>
      </c>
      <c r="F13" s="16">
        <f t="shared" si="1"/>
        <v>90</v>
      </c>
      <c r="G13" s="16">
        <f>SUM(G7:G12)</f>
        <v>90</v>
      </c>
      <c r="H13" s="16">
        <f t="shared" si="1"/>
        <v>90</v>
      </c>
      <c r="I13" s="16">
        <f t="shared" si="1"/>
        <v>90</v>
      </c>
      <c r="J13" s="16">
        <f t="shared" si="1"/>
        <v>90</v>
      </c>
      <c r="K13" s="16">
        <f t="shared" si="1"/>
        <v>90</v>
      </c>
      <c r="L13" s="16">
        <f t="shared" si="1"/>
        <v>90</v>
      </c>
      <c r="M13" s="118">
        <f>SUM(A7:L12)</f>
        <v>1080</v>
      </c>
      <c r="Q13" s="23"/>
    </row>
    <row r="14" spans="1:64">
      <c r="Q14" s="23"/>
    </row>
    <row r="15" spans="1:64" ht="26.25" customHeight="1">
      <c r="A15" s="142" t="s">
        <v>165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86" t="s">
        <v>209</v>
      </c>
      <c r="O15" s="186"/>
      <c r="P15" s="184" t="s">
        <v>210</v>
      </c>
      <c r="Q15" s="184"/>
      <c r="R15" s="184"/>
      <c r="V15" s="23"/>
      <c r="W15" s="113"/>
      <c r="X15" s="113"/>
      <c r="Y15" s="113"/>
      <c r="Z15" s="114"/>
      <c r="AA15" s="114"/>
      <c r="AB15" s="114"/>
      <c r="BI15" s="113"/>
      <c r="BJ15" s="2"/>
      <c r="BK15" s="2"/>
      <c r="BL15" s="2"/>
    </row>
    <row r="16" spans="1:64">
      <c r="A16" s="14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19" t="s">
        <v>166</v>
      </c>
      <c r="O16" s="119" t="s">
        <v>167</v>
      </c>
      <c r="P16" s="42" t="s">
        <v>164</v>
      </c>
      <c r="Q16" s="42" t="s">
        <v>110</v>
      </c>
      <c r="R16" s="42" t="s">
        <v>109</v>
      </c>
      <c r="V16" s="23"/>
      <c r="W16" s="113"/>
      <c r="X16" s="113"/>
      <c r="Y16" s="113"/>
      <c r="Z16" s="114"/>
      <c r="AA16" s="114"/>
      <c r="AB16" s="114"/>
      <c r="BI16" s="113"/>
      <c r="BJ16" s="2"/>
      <c r="BK16" s="2"/>
      <c r="BL16" s="2"/>
    </row>
    <row r="17" spans="1:64" ht="12.75" customHeight="1">
      <c r="A17" s="183" t="s">
        <v>168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20">
        <v>145192</v>
      </c>
      <c r="O17" s="120">
        <v>51920</v>
      </c>
      <c r="P17" s="121">
        <f t="shared" ref="P17" si="2">+N17*$O$8</f>
        <v>2613456</v>
      </c>
      <c r="Q17" s="121">
        <f t="shared" ref="Q17" si="3">+O17*$O$9</f>
        <v>3738240</v>
      </c>
      <c r="R17" s="121">
        <f t="shared" ref="R17" si="4">+P17+Q17</f>
        <v>6351696</v>
      </c>
      <c r="V17" s="23"/>
      <c r="W17" s="113"/>
      <c r="X17" s="113"/>
      <c r="Y17" s="113"/>
      <c r="Z17" s="114"/>
      <c r="AA17" s="114"/>
      <c r="AB17" s="114"/>
      <c r="BI17" s="113"/>
      <c r="BJ17" s="2"/>
      <c r="BK17" s="2"/>
      <c r="BL17" s="2"/>
    </row>
  </sheetData>
  <mergeCells count="7">
    <mergeCell ref="A17:M17"/>
    <mergeCell ref="A1:R1"/>
    <mergeCell ref="P15:R15"/>
    <mergeCell ref="A5:L5"/>
    <mergeCell ref="M5:M6"/>
    <mergeCell ref="A15:M16"/>
    <mergeCell ref="N15:O15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RESUMEN COSTOS 10</vt:lpstr>
      <vt:lpstr>RESUMEN COSTOS MENSUALES</vt:lpstr>
      <vt:lpstr>DOTACIÓN INICIAL</vt:lpstr>
      <vt:lpstr>FASE II - DETALLADO</vt:lpstr>
      <vt:lpstr>FASE II -DETALLE FORMULA</vt:lpstr>
      <vt:lpstr>FASE III</vt:lpstr>
      <vt:lpstr>'DOTACIÓN INICIAL'!Área_de_impresión</vt:lpstr>
      <vt:lpstr>'FASE II - DETALLADO'!Área_de_impresión</vt:lpstr>
      <vt:lpstr>'RESUMEN COSTOS MENSUALES'!Área_de_impresión</vt:lpstr>
      <vt:lpstr>'DOTACIÓN INICIAL'!Títulos_a_imprimir</vt:lpstr>
      <vt:lpstr>'FASE II - DETALLADO'!Títulos_a_imprimir</vt:lpstr>
    </vt:vector>
  </TitlesOfParts>
  <Company>ICBF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Rodriguez Rodriguez</dc:creator>
  <cp:lastModifiedBy>MATC01</cp:lastModifiedBy>
  <cp:lastPrinted>2013-10-01T16:44:57Z</cp:lastPrinted>
  <dcterms:created xsi:type="dcterms:W3CDTF">2009-06-10T16:47:47Z</dcterms:created>
  <dcterms:modified xsi:type="dcterms:W3CDTF">2017-11-08T03:53:59Z</dcterms:modified>
</cp:coreProperties>
</file>