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icbfgob-my.sharepoint.com/personal/diana_cetina_icbf_gov_co/Documents/DPCG/2025/EKOGUI/RESPUESTA NO CONFORMIDADES/"/>
    </mc:Choice>
  </mc:AlternateContent>
  <xr:revisionPtr revIDLastSave="0" documentId="8_{C43AD514-B406-4A18-A7CA-BC5ACE3859C9}" xr6:coauthVersionLast="47" xr6:coauthVersionMax="47" xr10:uidLastSave="{00000000-0000-0000-0000-000000000000}"/>
  <workbookProtection workbookAlgorithmName="SHA-512" workbookHashValue="ROUw9MIcdcYjV7HNExuVGSLAoFPUH6zNlT2n1SkftbCe3zATYDIsPljljFI3nRXhSpvlOUvNhfDzc2/jFyD8rQ==" workbookSaltValue="YSRudnUxLht4kYX9GIpx/Q==" workbookSpinCount="100000" lockStructure="1"/>
  <bookViews>
    <workbookView xWindow="-28920" yWindow="-120" windowWidth="29040" windowHeight="15840" activeTab="9" xr2:uid="{00000000-000D-0000-FFFF-FFFF00000000}"/>
  </bookViews>
  <sheets>
    <sheet name="Portada" sheetId="18" r:id="rId1"/>
    <sheet name="Usuarios" sheetId="16" r:id="rId2"/>
    <sheet name="Abogados" sheetId="19" r:id="rId3"/>
    <sheet name="Conciliación extrajudicial" sheetId="22" state="hidden" r:id="rId4"/>
    <sheet name="Comité de conciliación" sheetId="24" r:id="rId5"/>
    <sheet name="Judiciales" sheetId="21" r:id="rId6"/>
    <sheet name="Arbitramentos" sheetId="23" r:id="rId7"/>
    <sheet name="Pagos" sheetId="25" r:id="rId8"/>
    <sheet name="Para_consolidar" sheetId="29" state="hidden" r:id="rId9"/>
    <sheet name="Resumen" sheetId="28" r:id="rId10"/>
    <sheet name="Administrador" sheetId="27" state="hidden" r:id="rId11"/>
    <sheet name="Entidades" sheetId="13" state="hidden" r:id="rId12"/>
  </sheets>
  <definedNames>
    <definedName name="_xlnm.Print_Area" localSheetId="9">Resumen!$C$2:$J$54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Q4" i="29" l="1"/>
  <c r="CP4" i="29"/>
  <c r="CO4" i="29"/>
  <c r="CN4" i="29"/>
  <c r="CM4" i="29"/>
  <c r="CL4" i="29"/>
  <c r="CK4" i="29"/>
  <c r="CJ4" i="29"/>
  <c r="CI4" i="29"/>
  <c r="CH4" i="29"/>
  <c r="CG4" i="29"/>
  <c r="CF4" i="29"/>
  <c r="CE4" i="29"/>
  <c r="N25" i="21"/>
  <c r="N23" i="21"/>
  <c r="CD4" i="29"/>
  <c r="CC4" i="29"/>
  <c r="CB4" i="29"/>
  <c r="CA4" i="29"/>
  <c r="BZ4" i="29"/>
  <c r="BY4" i="29"/>
  <c r="BX4" i="29"/>
  <c r="BW4" i="29"/>
  <c r="BV4" i="29"/>
  <c r="BU4" i="29"/>
  <c r="BT4" i="29"/>
  <c r="BS4" i="29"/>
  <c r="BR4" i="29"/>
  <c r="BQ4" i="29"/>
  <c r="BP4" i="29"/>
  <c r="BO4" i="29"/>
  <c r="BN4" i="29"/>
  <c r="BM4" i="29"/>
  <c r="BL4" i="29"/>
  <c r="BK4" i="29"/>
  <c r="BI4" i="29"/>
  <c r="BH4" i="29"/>
  <c r="BG4" i="29"/>
  <c r="BF4" i="29"/>
  <c r="BE4" i="29"/>
  <c r="BD4" i="29"/>
  <c r="BC4" i="29"/>
  <c r="BB4" i="29"/>
  <c r="BA4" i="29"/>
  <c r="AY4" i="29"/>
  <c r="AZ4" i="29"/>
  <c r="AX4" i="29"/>
  <c r="AT4" i="29"/>
  <c r="AU4" i="29"/>
  <c r="AV4" i="29"/>
  <c r="AW4" i="29"/>
  <c r="N15" i="24"/>
  <c r="AS4" i="29"/>
  <c r="AR4" i="29"/>
  <c r="AQ4" i="29"/>
  <c r="AP4" i="29"/>
  <c r="AO4" i="29"/>
  <c r="AA4" i="29"/>
  <c r="AN4" i="29"/>
  <c r="AM4" i="29"/>
  <c r="AL4" i="29"/>
  <c r="AK4" i="29"/>
  <c r="AJ4" i="29"/>
  <c r="AI4" i="29"/>
  <c r="AH4" i="29"/>
  <c r="AG4" i="29"/>
  <c r="AF4" i="29"/>
  <c r="AE4" i="29"/>
  <c r="AD4" i="29"/>
  <c r="AC4" i="29"/>
  <c r="AB4" i="29"/>
  <c r="Z4" i="29"/>
  <c r="Y4" i="29"/>
  <c r="X4" i="29"/>
  <c r="W4" i="29"/>
  <c r="V4" i="29"/>
  <c r="U4" i="29"/>
  <c r="T4" i="29"/>
  <c r="S4" i="29"/>
  <c r="R4" i="29"/>
  <c r="Q4" i="29"/>
  <c r="P4" i="29"/>
  <c r="O4" i="29"/>
  <c r="N4" i="29"/>
  <c r="M4" i="29"/>
  <c r="L4" i="29"/>
  <c r="K4" i="29"/>
  <c r="J4" i="29"/>
  <c r="I4" i="29"/>
  <c r="H4" i="29"/>
  <c r="G4" i="29"/>
  <c r="F4" i="29"/>
  <c r="E4" i="29"/>
  <c r="D4" i="29"/>
  <c r="C4" i="29"/>
  <c r="B4" i="29"/>
  <c r="A4" i="29"/>
  <c r="H25" i="28"/>
  <c r="H24" i="28"/>
  <c r="H21" i="28"/>
  <c r="H20" i="28"/>
  <c r="H17" i="28"/>
  <c r="H16" i="28"/>
  <c r="H15" i="28"/>
  <c r="V35" i="21"/>
  <c r="V37" i="21"/>
  <c r="V39" i="21"/>
  <c r="V41" i="21"/>
  <c r="E24" i="28"/>
  <c r="E23" i="28"/>
  <c r="E22" i="28"/>
  <c r="E21" i="28"/>
  <c r="S22" i="19"/>
  <c r="S20" i="19"/>
  <c r="S26" i="19"/>
  <c r="S24" i="19"/>
  <c r="T23" i="16"/>
  <c r="T21" i="16"/>
  <c r="T19" i="16"/>
  <c r="T17" i="16"/>
  <c r="T15" i="16"/>
  <c r="T13" i="16"/>
  <c r="E15" i="28"/>
  <c r="E16" i="28"/>
  <c r="J9" i="28"/>
  <c r="D10" i="28" s="1"/>
  <c r="W33" i="21"/>
  <c r="W20" i="21"/>
  <c r="B16" i="27"/>
  <c r="B19" i="27" s="1"/>
  <c r="K24" i="21"/>
  <c r="L24" i="21" s="1"/>
  <c r="BJ4" i="29" s="1"/>
  <c r="N17" i="24"/>
  <c r="N16" i="24"/>
  <c r="H15" i="19"/>
  <c r="I15" i="19" s="1"/>
  <c r="E25" i="28" l="1"/>
  <c r="E33" i="21"/>
  <c r="E18" i="28"/>
  <c r="E23" i="19"/>
  <c r="E17" i="28"/>
  <c r="E17" i="19"/>
  <c r="E19" i="19"/>
  <c r="E21" i="19"/>
  <c r="N27" i="21"/>
  <c r="B17" i="27"/>
  <c r="B18" i="27"/>
  <c r="N10" i="23" s="1"/>
  <c r="W18" i="21"/>
  <c r="E8" i="24"/>
  <c r="D6" i="28"/>
  <c r="J8" i="28"/>
  <c r="B32" i="27"/>
  <c r="E20" i="21" l="1"/>
  <c r="E18" i="21"/>
  <c r="E22" i="21"/>
  <c r="E27" i="21"/>
  <c r="E9" i="21"/>
  <c r="E10" i="23"/>
  <c r="B25" i="27"/>
  <c r="E20" i="22" l="1"/>
  <c r="N8" i="22"/>
  <c r="E7" i="22"/>
  <c r="E22" i="22"/>
  <c r="E15" i="22"/>
  <c r="E17" i="22" s="1"/>
  <c r="E13" i="22"/>
  <c r="E24" i="22"/>
  <c r="B6" i="27"/>
  <c r="B22" i="27"/>
  <c r="W27" i="21" l="1"/>
</calcChain>
</file>

<file path=xl/sharedStrings.xml><?xml version="1.0" encoding="utf-8"?>
<sst xmlns="http://schemas.openxmlformats.org/spreadsheetml/2006/main" count="1421" uniqueCount="662">
  <si>
    <t>Plantilla de certificado de Control Interno eKOGUI</t>
  </si>
  <si>
    <t>II - 2024</t>
  </si>
  <si>
    <t>I - 2025</t>
  </si>
  <si>
    <t>II - 2025</t>
  </si>
  <si>
    <t>Portada</t>
  </si>
  <si>
    <t>Periodo a diligenciar</t>
  </si>
  <si>
    <t>I - 2026</t>
  </si>
  <si>
    <t>II - 2026</t>
  </si>
  <si>
    <t>Usuarios</t>
  </si>
  <si>
    <r>
      <t xml:space="preserve">Por favor seleccione la información que desea registrar, en cualquier momento puede visualizar los resultados de la información que haya registrado seleccionando la opción de </t>
    </r>
    <r>
      <rPr>
        <b/>
        <sz val="12"/>
        <color rgb="FF223B7F"/>
        <rFont val="Arial"/>
        <family val="2"/>
      </rPr>
      <t>Resumen general.</t>
    </r>
  </si>
  <si>
    <t>Abogados</t>
  </si>
  <si>
    <t>Judiciales</t>
  </si>
  <si>
    <t>Arbitramentos</t>
  </si>
  <si>
    <t>Utilice la barra de navegación lateral izquierda para moverse entre pestañas</t>
  </si>
  <si>
    <t>Utilice las listas desplegables para llenar información a lo largo del documento</t>
  </si>
  <si>
    <t>Utilice la información del lateral derecho como ayuda de llenado de la pestaña</t>
  </si>
  <si>
    <r>
      <t xml:space="preserve">En cualquier momento puede visualizar los resultados de la información que haya registrado seleccionando la opción de </t>
    </r>
    <r>
      <rPr>
        <b/>
        <sz val="10"/>
        <color rgb="FF223B7F"/>
        <rFont val="Arial"/>
        <family val="2"/>
      </rPr>
      <t>Resumen general.</t>
    </r>
  </si>
  <si>
    <t>Comité de conciliación</t>
  </si>
  <si>
    <t>Pagos</t>
  </si>
  <si>
    <t>Resumen general</t>
  </si>
  <si>
    <t>Para saber más sobre el contenido y cómo completar la plantilla de control interno puede consultar la Guía de Control Interno.</t>
  </si>
  <si>
    <t>Acceder al manual</t>
  </si>
  <si>
    <t>En esta sección se presenta la información detallada de todos los usuarios activos.</t>
  </si>
  <si>
    <t>Fecha de diligenciamiento</t>
  </si>
  <si>
    <t>Para saber más sobre cómo completar la hoja de usuarios puede consultar la sección 5.2 (Hoja de usuarios) de la Guía de Control Interno.</t>
  </si>
  <si>
    <t>Rol</t>
  </si>
  <si>
    <t>Tiene rol</t>
  </si>
  <si>
    <t>Fecha creación en eKOGUI</t>
  </si>
  <si>
    <t>Nombre</t>
  </si>
  <si>
    <t>Fecha última capacitación</t>
  </si>
  <si>
    <t>Jefe financiero</t>
  </si>
  <si>
    <t>Si</t>
  </si>
  <si>
    <t>ALBA PATRICIA CASTELLANOS RAMIREZ</t>
  </si>
  <si>
    <t>Jefe jurídico</t>
  </si>
  <si>
    <t>LEONARDO ALFONSO PEREZ MEDINA</t>
  </si>
  <si>
    <t>Enlace de pagos</t>
  </si>
  <si>
    <t>FABIO QUINTERO PERILLA</t>
  </si>
  <si>
    <t xml:space="preserve">❓ Completa la tabla con los roles de tu entidad. Si no aplica para su entidad este rol, debe diligenciar N/A.
Debe ingresar la información del último rol que aparece en el sistema  al momento de la consulta, incluso si está activación se realiza en 2025.
</t>
  </si>
  <si>
    <t>Jefe de control interno</t>
  </si>
  <si>
    <t>YANIRA VILLAMIL SUZUNAGA</t>
  </si>
  <si>
    <t>Secretario técnico</t>
  </si>
  <si>
    <t>LUZ FRANCY BARRIOS RAMINEZ</t>
  </si>
  <si>
    <t>Administrador de la entidad</t>
  </si>
  <si>
    <t>Observaciones</t>
  </si>
  <si>
    <t>❓ En fecha de capacitación ingrese al última capacitación de la que tenga evidencia al momento del diligenciamiento, puede ser incluso en 2025.</t>
  </si>
  <si>
    <t>❓ En observaciones, su diligenciamiento es opcional, puede ingresar cualquier novedad que considere relevante en cuanto a los roles de la entidad.</t>
  </si>
  <si>
    <t>En esta sección se presenta la información detallada de todos los abogados.</t>
  </si>
  <si>
    <t>Para saber más sobre cómo completar la hoja de abogados puede consultar la sección 5.3 (Hoja de abogados) de la Guía de Control Interno.</t>
  </si>
  <si>
    <t>Cantidad de abogados litigando según jurídica</t>
  </si>
  <si>
    <t>Abogados activos en eKogui</t>
  </si>
  <si>
    <t>Retirados de la entidad según jurídica segundo semestre</t>
  </si>
  <si>
    <t>Inactivados en eKOGUI durante el segundo semestre</t>
  </si>
  <si>
    <r>
      <t xml:space="preserve">❓Es importante que cada entidad actualice los accesos de los abogados vigentes, para evitar que aquellos que ya no están activos utilicen indebidamente sus perfiles registrados en eKogui, y así prevenir posibles fugas de información.
</t>
    </r>
    <r>
      <rPr>
        <b/>
        <sz val="10"/>
        <color theme="1"/>
        <rFont val="Amasis MT Pro Black"/>
        <family val="1"/>
      </rPr>
      <t xml:space="preserve">! </t>
    </r>
    <r>
      <rPr>
        <sz val="10"/>
        <color theme="1"/>
        <rFont val="Arial"/>
        <family val="2"/>
      </rPr>
      <t xml:space="preserve"> Recuerde que la suma de los abogados en la tabla de capacitaciones debe corresponder al número de agogados activos en eKOGUI</t>
    </r>
  </si>
  <si>
    <t>De los abogados activos creados en eKOGUI indique cuántos tienen su última capácitación:</t>
  </si>
  <si>
    <t>Su última capacitación fue realizada después del 31/12/2023</t>
  </si>
  <si>
    <t>Su última capacitación fue entre el 01/01/2020 y el 31/12/2023</t>
  </si>
  <si>
    <t>Su última capacitación fue anterior al 01/01/2020</t>
  </si>
  <si>
    <t>No tienen capacitación</t>
  </si>
  <si>
    <t>❓En algunas entidades, el área jurídica se reparte entre abogados y apoderados y sólo algunos están registrados en eKOGUI, por lo que es necesario diferenciar entre 'Cantidad de Abogados Litigando según Jurídica' y 'Abogados Creados en eKogui Activos'. En observaciones, se debe justificar cualquier diferencia en los registros</t>
  </si>
  <si>
    <t>Conciliación extrajudicial</t>
  </si>
  <si>
    <t>En esta sección se presenta la información detalles los procesos en conciliación extrajudicial.</t>
  </si>
  <si>
    <t>Cantidad</t>
  </si>
  <si>
    <t>Total conciliaciones extrajudiciales activas según jurídica</t>
  </si>
  <si>
    <t>Para saber más sobre cómo completar la hoja de conciliaciones prejudiciales puede consultar la sección 5.5 (Hoja Conciliaciones Prejudiciales) de la Guía de Control Interno</t>
  </si>
  <si>
    <t>Total conciliaciones extrajudiciales activas en eKogui</t>
  </si>
  <si>
    <t>Actualizaciones</t>
  </si>
  <si>
    <t>Cantidad prejudiciales</t>
  </si>
  <si>
    <t>Procesos que efectivamente se encuentran activos</t>
  </si>
  <si>
    <t>Procesos que se encuentran terminados</t>
  </si>
  <si>
    <t>En esta sección se presenta la información detalles los procesos de arbitramentos.</t>
  </si>
  <si>
    <t>Para saber más sobre cómo completar la hoja de Comités de Conciliación puede consultar la sección 5.7 (Hoja Comités de Conciliación) de la Guía de Control Interno</t>
  </si>
  <si>
    <t>Su entidad elaboró las fichas de conciliación a través del sistema eKOGUI durante 2023-II</t>
  </si>
  <si>
    <t>Fichas para decisión del comité</t>
  </si>
  <si>
    <t>Con fecha</t>
  </si>
  <si>
    <t>Sin fecha</t>
  </si>
  <si>
    <t>Total</t>
  </si>
  <si>
    <t>Procesos  arbitrales para decisión del comité</t>
  </si>
  <si>
    <t>Procesos  judiciales para decisión del comité</t>
  </si>
  <si>
    <t>Conciliaciones extrajudciales para decisión del comité</t>
  </si>
  <si>
    <t>Fichas con decisión del comité</t>
  </si>
  <si>
    <t>Procesos  arbitrales con decisión del comité</t>
  </si>
  <si>
    <t>Procesos  judiciales con decisión del comité</t>
  </si>
  <si>
    <t>Conciliaciones extrajudciales con decisión del comité</t>
  </si>
  <si>
    <t>1) NC3. Ítem "Procesos Judiciales con decisión del comité" Realizada la verificación de la base descargada desde el sistema Ekogui se identificó 1 registro con No. Ficha 133694 que no cuenta con información de la decisión del comité.
Criterios: Decreto 1069 de 2015. Artículo 2.2.3.4.1.13 Funciones comunes para los usuarios del Sistema Único de Gestión e Información Litigiosa del Estado – eKOGUI, Parágrafo; Manual del Abogado - V00 septiembre de 2022-ANDJE, Numeral 2.2., inciso 5 y Numeral 2.3., inciso Tercero</t>
  </si>
  <si>
    <t>Para saber más sobre cómo completar la hoja de procesos judiciales puede consultar la sección 5.4 (Hoja Judiciales) de la Guía de Control Interno</t>
  </si>
  <si>
    <t>Cantidad de procesos activos según jurídica</t>
  </si>
  <si>
    <t>Mayores a 33.0000 SMMLV4️⃣ activos</t>
  </si>
  <si>
    <t>Procesos activos registrados en eKOGUI</t>
  </si>
  <si>
    <t>Cantidad de procesos de más de 33.000 SMMLV según jurídica</t>
  </si>
  <si>
    <r>
      <t>Procesos sin abogado asignado</t>
    </r>
    <r>
      <rPr>
        <sz val="11"/>
        <color rgb="FF223B7F"/>
        <rFont val="Arial"/>
        <family val="2"/>
      </rPr>
      <t>1️⃣</t>
    </r>
  </si>
  <si>
    <t>Procesos de más de 33.000 SMMLV registrados en eKOGUI</t>
  </si>
  <si>
    <t>Procesos de más de 33.000 SMMLV con la pieza demanda5️⃣</t>
  </si>
  <si>
    <t>Calificación de riesgo</t>
  </si>
  <si>
    <t>3️⃣En el reporte de Activos verifique la columna Estado General del proceso</t>
  </si>
  <si>
    <t>Actualización</t>
  </si>
  <si>
    <t>Procesos activos en eKOGUI con estado terminado3️⃣</t>
  </si>
  <si>
    <t>Procesos eKOGUI - Sin calificación</t>
  </si>
  <si>
    <t>5️⃣Pudo ser remitida a la ANDJE o cargada en el sistema</t>
  </si>
  <si>
    <t>Provisión contable6️⃣</t>
  </si>
  <si>
    <t>Número Procesos</t>
  </si>
  <si>
    <t>Número provisión igual a cero</t>
  </si>
  <si>
    <t>Probabilidad de perder el caso - ALTA</t>
  </si>
  <si>
    <t>Probabilidad de perder el caso - MEDIA</t>
  </si>
  <si>
    <t>Condenas</t>
  </si>
  <si>
    <t>Probabilidad de perder el caso - BAJA</t>
  </si>
  <si>
    <t>Del total de procesos se debe incluir cuántos tienen una provisión igual a 0 de cada probabilidad de perder el caso.</t>
  </si>
  <si>
    <t>Procesos analizados</t>
  </si>
  <si>
    <t>Probabilidad de perder el caso - REMOTA</t>
  </si>
  <si>
    <t>Procesos terminados con ejecutoria</t>
  </si>
  <si>
    <t>Procesos desfavorables</t>
  </si>
  <si>
    <t>Procesos que generan erogación económica</t>
  </si>
  <si>
    <t>Procesos con valor condena mayor a cero</t>
  </si>
  <si>
    <t>Para saber más sobre cómo completar la hoja de arbitramentos puede consultar la sección 5.6 (Hoja de Arbitramentos) de la Guía de Control Interno.</t>
  </si>
  <si>
    <t>Arbitramentos activos registrados en eKOGUI</t>
  </si>
  <si>
    <t>Arbitramentos terminados en eKOGUI</t>
  </si>
  <si>
    <t>¿Su entidad gestiona en SIIF-MinHacienda?</t>
  </si>
  <si>
    <t>SÍ</t>
  </si>
  <si>
    <t>Para saber más sobre cómo completar la hoja de pagos puede consultar la sección 5.8 (Hoja pagos) de la Guía de Control Interno.</t>
  </si>
  <si>
    <t>¿Cuántos pagos ha relacionado la entidad en eKOGUI?</t>
  </si>
  <si>
    <t>Comité</t>
  </si>
  <si>
    <t>Resumen</t>
  </si>
  <si>
    <t>Financiero</t>
  </si>
  <si>
    <t>Juridico</t>
  </si>
  <si>
    <t>Control interno</t>
  </si>
  <si>
    <t>Secretario</t>
  </si>
  <si>
    <t>Administrador</t>
  </si>
  <si>
    <t>Información</t>
  </si>
  <si>
    <t>Completitud</t>
  </si>
  <si>
    <t>Capacitación</t>
  </si>
  <si>
    <t>Preguntas generales</t>
  </si>
  <si>
    <t>Para decisión</t>
  </si>
  <si>
    <t>Con decisión</t>
  </si>
  <si>
    <t>Activos</t>
  </si>
  <si>
    <t>Terminados</t>
  </si>
  <si>
    <t>Mayores a 33000</t>
  </si>
  <si>
    <t>Calificación</t>
  </si>
  <si>
    <t>Provisión</t>
  </si>
  <si>
    <t>Fecha</t>
  </si>
  <si>
    <t>Tiene</t>
  </si>
  <si>
    <t>Creación</t>
  </si>
  <si>
    <t>Observación</t>
  </si>
  <si>
    <t>De la muestra, cuantos tienen el nombre correcto</t>
  </si>
  <si>
    <t>De la muestra cuantos tienen el correo electrónico correcto</t>
  </si>
  <si>
    <t>De la muestra, cuantos tienen la fecha de nacimiento correcta</t>
  </si>
  <si>
    <t>Gestiona comités</t>
  </si>
  <si>
    <t>Grestiona fichas</t>
  </si>
  <si>
    <t>Arbitrales con fecha</t>
  </si>
  <si>
    <t>Arbitrales sin fecha</t>
  </si>
  <si>
    <t>Judiciales con fecha</t>
  </si>
  <si>
    <t>Judiciales sin fecha</t>
  </si>
  <si>
    <t>Conciliaciones  con fecha</t>
  </si>
  <si>
    <t>Conciliaciones  sin fecha</t>
  </si>
  <si>
    <t>Arbitrales</t>
  </si>
  <si>
    <t>Conciliaciones</t>
  </si>
  <si>
    <t>Jurídica</t>
  </si>
  <si>
    <t>eKOGUI</t>
  </si>
  <si>
    <t>Sin abogado</t>
  </si>
  <si>
    <t xml:space="preserve">Terminados </t>
  </si>
  <si>
    <t>Activos con terminación</t>
  </si>
  <si>
    <t>más de 33.000 SMMLV según jurídica</t>
  </si>
  <si>
    <t>más de 33.000 SMMLV registrados en eKOGUI</t>
  </si>
  <si>
    <t>más de 33.000 SMMLV con la pieza demanda</t>
  </si>
  <si>
    <t>Procesos activos eKOGUI - Calidad demandado</t>
  </si>
  <si>
    <t xml:space="preserve">Ultimo semestre </t>
  </si>
  <si>
    <t>Anterior al ultimo semestre</t>
  </si>
  <si>
    <t>Sin calificación</t>
  </si>
  <si>
    <t>Alta</t>
  </si>
  <si>
    <t>Alta cero</t>
  </si>
  <si>
    <t>Media</t>
  </si>
  <si>
    <t>Media cero</t>
  </si>
  <si>
    <t>Baja</t>
  </si>
  <si>
    <t>Baja cero</t>
  </si>
  <si>
    <t>Remota</t>
  </si>
  <si>
    <t>Remota cero</t>
  </si>
  <si>
    <t>Activos juridica</t>
  </si>
  <si>
    <t>Activos eKOGUI</t>
  </si>
  <si>
    <t>Terminados juridica</t>
  </si>
  <si>
    <t>Terminados eKOGUI</t>
  </si>
  <si>
    <t>SIIF</t>
  </si>
  <si>
    <t>Gestión</t>
  </si>
  <si>
    <t>Entidad</t>
  </si>
  <si>
    <t>Detalle</t>
  </si>
  <si>
    <t>Nombre CI</t>
  </si>
  <si>
    <t>Para saber más sobre el contenido y cómo completar la hoja resumen puede consultar la sección 5.9 (Hoja resumen) de la Guía de Control Interno.</t>
  </si>
  <si>
    <t>Agencia Nacional de Defensa Jurídica del Estado</t>
  </si>
  <si>
    <t>Nombre de entidad que reporta</t>
  </si>
  <si>
    <t>Nombre jefe de control interno que reporta</t>
  </si>
  <si>
    <t>No</t>
  </si>
  <si>
    <t>INFORMACIÓN USUARIOS</t>
  </si>
  <si>
    <t/>
  </si>
  <si>
    <t>COMITES DE CONCILIACION</t>
  </si>
  <si>
    <t>Falta actualizar</t>
  </si>
  <si>
    <t>N/A</t>
  </si>
  <si>
    <t>Completitud de roles</t>
  </si>
  <si>
    <t>Gestión de sesiones</t>
  </si>
  <si>
    <t>Usuarios activos</t>
  </si>
  <si>
    <t>Gestión de Fichas</t>
  </si>
  <si>
    <t>Información usuarios</t>
  </si>
  <si>
    <t>Fichas con decisión</t>
  </si>
  <si>
    <t>Nivel de capacitación</t>
  </si>
  <si>
    <t>ARBITRAMENTOS</t>
  </si>
  <si>
    <t>JUDICIALES</t>
  </si>
  <si>
    <t>Procesos arbitrales</t>
  </si>
  <si>
    <t>Procesos activos</t>
  </si>
  <si>
    <t>Porcentaje de registro</t>
  </si>
  <si>
    <t>Actualización más de 33.000 SMMLV</t>
  </si>
  <si>
    <t>PAGOS</t>
  </si>
  <si>
    <t>Procesos por abogado</t>
  </si>
  <si>
    <t>Uso del Módulo Pagos</t>
  </si>
  <si>
    <t>Provisión aparentemente inconsistente</t>
  </si>
  <si>
    <t>Realiza Pagos por SIIF</t>
  </si>
  <si>
    <t>Observaciones generales</t>
  </si>
  <si>
    <t>*️⃣Nota:  Los valores arrojados en esta hoja son solo para referencia y control del diligenciamiento, no deben ser usados para calificar, cualificar o comparar a las entidades, no hay valores buenos ni malos.</t>
  </si>
  <si>
    <r>
      <t>*️⃣</t>
    </r>
    <r>
      <rPr>
        <b/>
        <sz val="10"/>
        <color rgb="FF223B7F"/>
        <rFont val="Nunito Sans Normal"/>
      </rPr>
      <t xml:space="preserve"> CERTIFICACION DE INFORMACIÓN LITIGIOSA eKOGUI, DE QUE TRATA El ARTICULO 2.2.3.4.1.14 DEL DECRETO 1069 de 2015</t>
    </r>
    <r>
      <rPr>
        <sz val="10"/>
        <color rgb="FF223B7F"/>
        <rFont val="Nunito Sans Normal"/>
      </rPr>
      <t>.
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t>
    </r>
  </si>
  <si>
    <t>Firma Jefe de control interno</t>
  </si>
  <si>
    <t>ADMINISTRADORA COLOMBIANA DE PENSIONES-COLPENSIONES</t>
  </si>
  <si>
    <t>SEGUNDO</t>
  </si>
  <si>
    <t xml:space="preserve">31 DE DICIEMBRE </t>
  </si>
  <si>
    <t>ADMINISTRADORA DE LOS RECURSOS DEL SISTEMA GENERAL DE SEGURIDAD SOCIAL EN SALUD-ADRES</t>
  </si>
  <si>
    <t>PRIMER</t>
  </si>
  <si>
    <t xml:space="preserve">30 DE JUNIO </t>
  </si>
  <si>
    <t>ADMINISTRADORA DEL MONOPOLIO RENTISTICO DE LOS JUEGOS DE SUERTE Y AZAR-COLJUEGOS</t>
  </si>
  <si>
    <t>AGENCIA COLOMBIANA PARA LA REINCORPORACION Y NORMALIZACION-ANR</t>
  </si>
  <si>
    <t>Porcentaje diligenciado</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</si>
  <si>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</si>
  <si>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</si>
  <si>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</si>
  <si>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</si>
  <si>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</si>
  <si>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</si>
  <si>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</si>
  <si>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</si>
  <si>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</si>
  <si>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SEMESTRE</t>
  </si>
  <si>
    <t>OPCIONES</t>
  </si>
  <si>
    <t>1er</t>
  </si>
  <si>
    <t>AGENCIA NACIONAL DE SEGURIDAD VIAL-ANSV</t>
  </si>
  <si>
    <t>¿Actual?</t>
  </si>
  <si>
    <t>2do</t>
  </si>
  <si>
    <t>AGENCIA NACIONAL DE TIERRAS-ANT</t>
  </si>
  <si>
    <t>AGENCIA NACIONAL DEL ESPECTRO-ANE</t>
  </si>
  <si>
    <t>AGENCIA NACIONAL INMOBILIARIA VIRGILIO BARCO VARGAS-</t>
  </si>
  <si>
    <t>AGENCIA PRESIDENCIAL DE COOPERACION INTERNACIONAL DE COLOMBIA-APC</t>
  </si>
  <si>
    <t>ARCHIVO GENERAL DE LA NACION-AGN</t>
  </si>
  <si>
    <t>ARCO GRUPO BANCOLDEX S.A. COMPANIA DE FINANCIAMIENTO-LEASING BANCOLDEX</t>
  </si>
  <si>
    <t>¿Habilitado?</t>
  </si>
  <si>
    <t>ARMADA NACIONAL-ARC</t>
  </si>
  <si>
    <t>ARTESANIAS DE COLOMBIA S.A.-</t>
  </si>
  <si>
    <t>¿Tiene pagos?</t>
  </si>
  <si>
    <t>AUDITORIA GENERAL DE LA REPUBLICA-AGR</t>
  </si>
  <si>
    <t>AUTORIDAD NACIONAL DE ACUICULTURA Y PESCA-AUNAP</t>
  </si>
  <si>
    <t>Año en curso</t>
  </si>
  <si>
    <t>AUTORIDAD NACIONAL DE LICENCIAS AMBIENTALES-ANLA</t>
  </si>
  <si>
    <t>AUTORIDAD NACIONAL DE TELEVISIÓN EN LIQUIDACIÓN-ANTV</t>
  </si>
  <si>
    <t>BANCO AGRARIO DE COLOMBIA S.A.-BANAGRARIO</t>
  </si>
  <si>
    <t>BANCO DE COMERCIO EXTERIOR DE COLOMBIA S.A.-BANCOLDEX</t>
  </si>
  <si>
    <t>BANCO DE LA REPUBLICA-BANREP</t>
  </si>
  <si>
    <t>¿Uso de módulo de pagos?</t>
  </si>
  <si>
    <t>BIOENERGY S.A.S.-</t>
  </si>
  <si>
    <t>Respuesta</t>
  </si>
  <si>
    <t>NO</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</si>
  <si>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</si>
  <si>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</si>
  <si>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</si>
  <si>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</si>
  <si>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</si>
  <si>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</si>
  <si>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</si>
  <si>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</si>
  <si>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</si>
  <si>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</si>
  <si>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</si>
  <si>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</si>
  <si>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</si>
  <si>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</si>
  <si>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</si>
  <si>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</si>
  <si>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</si>
  <si>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</si>
  <si>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</si>
  <si>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</si>
  <si>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</si>
  <si>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</si>
  <si>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</si>
  <si>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</si>
  <si>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</si>
  <si>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</si>
  <si>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</si>
  <si>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</si>
  <si>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</si>
  <si>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</si>
  <si>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</si>
  <si>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</si>
  <si>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</si>
  <si>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</si>
  <si>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</si>
  <si>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</si>
  <si>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</si>
  <si>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</si>
  <si>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</si>
  <si>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</si>
  <si>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</si>
  <si>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</si>
  <si>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</si>
  <si>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</si>
  <si>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</si>
  <si>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</si>
  <si>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</si>
  <si>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</si>
  <si>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</si>
  <si>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</si>
  <si>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</si>
  <si>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</si>
  <si>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</si>
  <si>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</si>
  <si>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</si>
  <si>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</si>
  <si>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</si>
  <si>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</si>
  <si>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</si>
  <si>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</si>
  <si>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</si>
  <si>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</si>
  <si>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</si>
  <si>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</si>
  <si>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</si>
  <si>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</si>
  <si>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</si>
  <si>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</si>
  <si>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</si>
  <si>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</si>
  <si>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</si>
  <si>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</si>
  <si>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</si>
  <si>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</si>
  <si>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</si>
  <si>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</si>
  <si>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</si>
  <si>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</si>
  <si>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-NIVEL CENTRAL-DIAN</t>
  </si>
  <si>
    <t>DIRECCION DE SANIDAD DE LA POLICIA NACIONAL-DISAN</t>
  </si>
  <si>
    <t>DIRECCION EJECUTIVA DE ADMINISTRACION JUDICIAL - NIVEL CENTRAL-DEAJ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</si>
  <si>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</si>
  <si>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</si>
  <si>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</si>
  <si>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</si>
  <si>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</si>
  <si>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</si>
  <si>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</si>
  <si>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</si>
  <si>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</si>
  <si>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</si>
  <si>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</si>
  <si>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</si>
  <si>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</si>
  <si>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</si>
  <si>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</si>
  <si>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</si>
  <si>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</si>
  <si>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</si>
  <si>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</si>
  <si>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</si>
  <si>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</si>
  <si>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</si>
  <si>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</si>
  <si>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</si>
  <si>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</si>
  <si>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</si>
  <si>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</si>
  <si>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</si>
  <si>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</si>
  <si>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</si>
  <si>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</si>
  <si>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</si>
  <si>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</si>
  <si>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</si>
  <si>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</si>
  <si>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</si>
  <si>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</si>
  <si>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</si>
  <si>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</si>
  <si>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</si>
  <si>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</si>
  <si>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</si>
  <si>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</si>
  <si>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</si>
  <si>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</si>
  <si>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</si>
  <si>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</si>
  <si>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</si>
  <si>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</si>
  <si>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</si>
  <si>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</si>
  <si>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</si>
  <si>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</si>
  <si>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</si>
  <si>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</si>
  <si>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</si>
  <si>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</si>
  <si>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</si>
  <si>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</si>
  <si>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</si>
  <si>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</si>
  <si>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</si>
  <si>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</si>
  <si>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</si>
  <si>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</si>
  <si>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</si>
  <si>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</si>
  <si>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</si>
  <si>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</si>
  <si>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</si>
  <si>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</si>
  <si>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</si>
  <si>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</si>
  <si>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</si>
  <si>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</si>
  <si>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</si>
  <si>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</si>
  <si>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</si>
  <si>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</si>
  <si>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</si>
  <si>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</si>
  <si>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</si>
  <si>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</si>
  <si>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</si>
  <si>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</si>
  <si>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</si>
  <si>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</si>
  <si>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</si>
  <si>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</si>
  <si>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</si>
  <si>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</si>
  <si>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</si>
  <si>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</si>
  <si>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</si>
  <si>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</si>
  <si>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</si>
  <si>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</si>
  <si>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</si>
  <si>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</si>
  <si>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</si>
  <si>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</si>
  <si>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</si>
  <si>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</si>
  <si>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</si>
  <si>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</si>
  <si>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</si>
  <si>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</si>
  <si>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</si>
  <si>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</si>
  <si>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</si>
  <si>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</si>
  <si>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</si>
  <si>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</si>
  <si>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</si>
  <si>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</si>
  <si>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</si>
  <si>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</si>
  <si>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</si>
  <si>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</si>
  <si>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</si>
  <si>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</si>
  <si>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</si>
  <si>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</si>
  <si>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</si>
  <si>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</si>
  <si>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</si>
  <si>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</si>
  <si>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</si>
  <si>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</si>
  <si>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</si>
  <si>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</si>
  <si>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</si>
  <si>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</si>
  <si>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</si>
  <si>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</si>
  <si>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</si>
  <si>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</si>
  <si>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</si>
  <si>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</si>
  <si>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</si>
  <si>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</si>
  <si>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</si>
  <si>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</si>
  <si>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</si>
  <si>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</si>
  <si>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</si>
  <si>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</si>
  <si>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</si>
  <si>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</si>
  <si>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</si>
  <si>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</si>
  <si>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</si>
  <si>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</si>
  <si>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</si>
  <si>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</si>
  <si>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</si>
  <si>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</si>
  <si>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</si>
  <si>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</si>
  <si>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</si>
  <si>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</si>
  <si>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</si>
  <si>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</si>
  <si>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</si>
  <si>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</si>
  <si>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</si>
  <si>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</si>
  <si>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</si>
  <si>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</si>
  <si>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</si>
  <si>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</si>
  <si>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</si>
  <si>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</si>
  <si>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</si>
  <si>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</si>
  <si>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</si>
  <si>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</si>
  <si>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</si>
  <si>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</si>
  <si>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</si>
  <si>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</si>
  <si>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</si>
  <si>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</si>
  <si>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</si>
  <si>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</si>
  <si>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</si>
  <si>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</si>
  <si>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</si>
  <si>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</si>
  <si>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</si>
  <si>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</si>
  <si>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</si>
  <si>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</si>
  <si>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</si>
  <si>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</si>
  <si>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</si>
  <si>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</si>
  <si>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</si>
  <si>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</si>
  <si>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</si>
  <si>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</si>
  <si>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</si>
  <si>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</si>
  <si>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</si>
  <si>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</si>
  <si>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</si>
  <si>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</si>
  <si>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</si>
  <si>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</si>
  <si>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</si>
  <si>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</si>
  <si>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</si>
  <si>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</si>
  <si>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</si>
  <si>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</si>
  <si>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</si>
  <si>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</si>
  <si>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</si>
  <si>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</si>
  <si>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</si>
  <si>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</si>
  <si>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</si>
  <si>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</si>
  <si>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</si>
  <si>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OTRA ORDEN NACIONAL</t>
  </si>
  <si>
    <t>OTRA ORDEN TERRITORIAL</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</si>
  <si>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</si>
  <si>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</si>
  <si>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</si>
  <si>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</si>
  <si>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</si>
  <si>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</si>
  <si>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</si>
  <si>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</si>
  <si>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</si>
  <si>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</si>
  <si>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</si>
  <si>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</si>
  <si>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</si>
  <si>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</si>
  <si>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</si>
  <si>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</si>
  <si>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</si>
  <si>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</si>
  <si>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</si>
  <si>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</si>
  <si>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</si>
  <si>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</si>
  <si>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</si>
  <si>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</si>
  <si>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</si>
  <si>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</si>
  <si>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</si>
  <si>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</si>
  <si>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</si>
  <si>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</si>
  <si>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</si>
  <si>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</si>
  <si>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</si>
  <si>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</si>
  <si>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</si>
  <si>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</si>
  <si>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</si>
  <si>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</si>
  <si>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</si>
  <si>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</si>
  <si>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</si>
  <si>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</si>
  <si>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</si>
  <si>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</si>
  <si>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</si>
  <si>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</si>
  <si>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</si>
  <si>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</si>
  <si>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</si>
  <si>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</si>
  <si>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</si>
  <si>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</si>
  <si>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</si>
  <si>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</si>
  <si>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</si>
  <si>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</si>
  <si>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</si>
  <si>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</si>
  <si>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</si>
  <si>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</si>
  <si>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</si>
  <si>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</si>
  <si>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</si>
  <si>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</si>
  <si>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</si>
  <si>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</si>
  <si>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</si>
  <si>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</si>
  <si>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</si>
  <si>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</si>
  <si>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</si>
  <si>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</si>
  <si>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</si>
  <si>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</si>
  <si>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</si>
  <si>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</si>
  <si>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</si>
  <si>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</si>
  <si>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</si>
  <si>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</si>
  <si>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</si>
  <si>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</si>
  <si>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</si>
  <si>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</si>
  <si>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</si>
  <si>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</si>
  <si>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</si>
  <si>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ANDJE DDJN-</t>
  </si>
  <si>
    <t>SIN IDENTIFICAR</t>
  </si>
  <si>
    <t>OTRA</t>
  </si>
  <si>
    <t>1) Para "Procesos activos al 31 de diciembre 2024 según jurídica".  De acuerdo con lo reportado por la OAJ en Memorando del 10/02/2025 Radicado No: 202510430000013073 numeral 5. se indican que la cantidad de procesos judiciales activos corresponden a 3.073
2) ítem De los procesos judiciales activos en e-kogui se identifican 3075. La OAJ frente a la diferencia mediante Radicado No: 202510430000019493 indicó " ....Respecto al proceso ID- 331248 a la fecha 31 de diciembre de 2024, se encontraba en estado TERMINADO, sin embargo, el proceso se activó el 11 de febrero de 2025, ya que se notificó el auto que ordenó el desarchive el proceso radicado  27001333300320130004900, por lo que se le asignó abogado para que radicase poder y ejerciese la defensa de los intereses jurídicos de la entidad.
Frente al proceso ID – 2026393 tal como consta en el reporte de procesos
TERMINADOS al 31 de diciembre de 2024; remitido por la Oficina Asesora
Jurídica, el proceso se encontraba en estado TERMINADO, sin embargo, la
abogada a cargo del proceso identificó que se había presentado recurso
ordinario de apelación contra el fallo de primera instancia, por lo que fue
necesario ACTIVAR nuevamente el proceso...."
3) En el ítem "Nombre Abogado Entidad" Consultado el reporte descargado el día 12/02/2025 desde Sistema  eKOGUI- procesos judiciales-home-activos se encontró que  1 proceso no contenía dato en la columna AQ "Nombre apoderado entidad" identificado en el ID: 1156358, el cual registra fecha de asignación del abogado el mismo día 12/02/2025.
4) En el ítem "Procesos Terminados en SEGUNDO Semestre 2024" se considera necesario precisar que conforme a lo indicado por la OAJ mediante Radicado 202510430000019493 del 21/02/2025, la dependencia en sus seguimientos internos toma y actualiza el estado a partir de la "Fecha de Registro última Actuación".
5) NC 4: Ítem: "Procesos eKOGUI-Calificación anterior al II Semestre-2024" se encontró 1 registro con calificación de riesgo anterior al segundo Semestre del 2024 correspondiente al ID 6666691 cuya fecha "Fecha Registro Última Actuación" se realiza 27/01/2025.
Criterios: Decreto 1069 de 2015. Artículo 2.2.3.4.1.13 Funciones comunes para los usuarios del Sistema Único de Gestión e Información Litigiosa del Estado – eKOGUI. Parágrafo; Manual del Abogado - V00 septiembre de 2022-ANDJE, Numeral 2.3., inciso Tercero y numeral 5.2, inciso Primero
6) NC 5: Ítem "Procesos eKOGUI-Sin Calificación" se identificó el ID 331248 sin fecha de calificación de riesgo registrada. 
Criterios: Decreto 1069 de 2015. Artículo 2.2.3.4.1.13 Funciones comunes para los usuarios del Sistema Único de Gestión e Información Litigiosa del Estado – eKOGUI. Parágrafo; Manual del Abogado - V00 septiembre de 2022-ANDJE, Numeral 2.2. inciso Sexto; Numeral 2.3., inciso Tercero y numeral 5.2, inciso Primero
7) NC6:  Ítem: Probabilidad de perder el caso remota: se encontró el ID 869699 con probabilidad de perder el caso remota y provisión contable mayor a cero; de otra parte se identificaron 2 registros con probabilidad Alta y con provisión contable en "0" que reportan monto en la columna "Valor Total Inicial de la Pretensiones Materiales" y con sentencia desfavorable de primera instancia, corresponden a los ID: 2095130, 2103769.
Criterios: Decreto 1069 de 2015. Artículo 2.2.3.4.1.13 Funciones comunes para los usuarios del Sistema Único de Gestión e Información Litigiosa del Estado – eKOGUI. Parágrafo; Manual del Abogado - V00 septiembre de 2022-ANDJE, Numeral 2.3., inciso Tercero y numeral 5.2, inciso Primero; MANUAL DE POLÍTICAS CONTABLES DEL ICBF BAJO EL MARCO NORMATIVO PARA ENTIDADES DE GOBIERNO, MO3.P31.GF del 26/09/2023,Versión 8, numeral 4.2.2.3. Provisiones; PROCEDIMIENTO PARA EJERCER LA DEFENSA EN DEMANDAS CONTENCIOSAS ADMINISTRATIVAS EN CONTRA DEL ICBF, P8.GJ del 01/02/2023, Versión 6, Actividad 23.</t>
  </si>
  <si>
    <t>1) En relación con los registros de pago correspondientes al segundo semestre 2024,  la OAJ en memorando 202510430000013073 del 10/02/2025 indicó "Frente a las dificultades que se presentan en el Módulo de Pago del Ekogui, se evidenció que no se cargan oportunamente los RPs, por el pago de Sentencias, lo anterior, no permite realizar la asociación de la Resolución de pago con el RP y con el proceso Judicial. Por lo anterior, mediante correo del 21 de diciembre de 2024, se solicitó a Soporte Ekogui, el cargue de los RPs, al módulo".
2) Consultada la información relación de pagos descargada desde Ekogui, se observan registros presupuestales hasta el mes de enero 2024, no  obstante mediante radicado No: 202510430000013073 del 10/02/2024 se indicó desde la OAJ que: "Frente a las dificultades que se presentan en el Módulo de Pago del Ekogui, se evidenció que no se cargan oportunamente los RPs, por el pago de Sentencias, lo
anterior, no permite realizar la asociación de la Resolución de pago con el RP y con el proceso Judicial.
Por lo anterior, mediante correo del 21 de diciembre de 2024, se solicitó a Soporte Ekogui, el cargue de los RPs, al módulo".</t>
  </si>
  <si>
    <t xml:space="preserve">1) En relación con la "Cantidad de abogados litigando según jurídica" la Oficina Asesora Jurídica mediante 202510430000013073 del 10-02-2025 informó que al corte del segundo semestre contaba con 152 usuarios activos, incluyendo el usuario MIGRACIÓN.
2) Respecto a los "Abogados retirados de la entidad según jurídica segundo semestre la Oficina Asesora Jurídica informó "De acuerdo con el reporte del Sistema Único de Gestión e Información Litigiosa del Estado (eKOGUI), durante el segundo semestre de la vigencia 2024, se inactivaron un total de 30 usuarios.
En cuanto al numero de abogados retirados, la Oficina Asesora Jurídica no dispone de esta información, ya que el sistema eKOGUI no cuenta con una funcionalidad que permita contabilizar la desvinculación de abogados. Esto se debe a que la inactivación de un Usuario en el sistema no implica necesariamente su retiro". 
3) NC1 - Ítem abogados activos con nombre correcto: De la muestra  aleatoria de 38 registros, una vez revisado el reporte arrojado desde el Sistema Ekogui se identificó uno (1) incorrecto (correspondiente al No.111) que refleja en Ekogui el nombre Pablo Enrique Zamora Rojas con cédula 41526978 sin embargo para el mismo número de identificación en certificación de la Policía Nacional,  Procuraduría y Secop II el número pertenece a Florinda Rojas Reina, identificanda en el número de cédula registrado en el Sistema.
Criterios: Decreto 1069 de 2015. Artículo 2.2.3.4.1.13 Funciones comunes para los usuarios del Sistema Único de Gestión e Información Litigiosa del Estado – eKOGUI, Parágrafo ; Manual del Abogado - V00 septiembre de 2022-ANDJE, Numeral 2.3., inciso Tercero
4) Ítem abogados con correo electrónico correcto: De la verificación de la muestra (38 direcciones e-mail) se encontró que 9 de ellos contienen un dominio diferente a cuenta institucional icbf.gov.co.
5) NC2: Ítem fecha de nacimiento correcta: De la verificación en el sistema ekogui  rol abogado por número de cédula, se encuentran 15 registros sin diligenciamiento de datos - fecha de nacimiento y 1 con fecha 01-01-1900.
Criterios:  Decreto 1069 de 2015. Artículo 2.2.3.4.1.13 Funciones comunes para los usuarios del Sistema Único de Gestión e Información Litigiosa del Estado – eKOGUI, Parágrafo ; Manual del Abogado - V00 septiembre de 2022-ANDJE, Numeral 2.3.,  inciso Tercero
</t>
  </si>
  <si>
    <t>Conforme al detalle en observaciones del formulario para los ítems:
"ABOGADOS” con nombre y fecha de nacimiento correcta; “COMITÉ DE CONCILIACION” procesos judiciales con decisión del comité; “JUDICIALES” Procesos Ekogui con calificación anterior al II Semestre 2024, Procesos sin Calificación y Provisión Contable“,  se comunicarán las observaciones a la dependencia responsable para el adelantamiento de las actividades correctivas o de mejora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</si>
</sst>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60">
    <font>
      <sz val="11"/>
      <color theme="1"/>
      <name val="Calibri"/>
      <family val="2"/>
      <scheme val="minor"/>
    </font>
    <font>
      <sz val="11"/>
      <color indexed="8"/>
      <name val="Calibri"/>
      <family val="2"/>
      <charset val="1"/>
    </font>
    <font>
      <sz val="10"/>
      <color theme="1"/>
      <name val="Calibri"/>
      <family val="2"/>
      <scheme val="minor"/>
    </font>
    <font>
      <u/>
      <sz val="11"/>
      <color theme="10"/>
      <name val="Calibri"/>
      <family val="2"/>
      <scheme val="minor"/>
    </font>
    <font>
      <sz val="10"/>
      <color theme="1"/>
      <name val="Arial"/>
      <family val="2"/>
    </font>
    <font>
      <b/>
      <sz val="10"/>
      <color theme="0"/>
      <name val="Arial"/>
      <family val="2"/>
    </font>
    <font>
      <sz val="11"/>
      <color theme="1"/>
      <name val="Arial"/>
      <family val="2"/>
    </font>
    <font>
      <b/>
      <sz val="20"/>
      <color rgb="FF223B7F"/>
      <name val="Arial"/>
      <family val="2"/>
    </font>
    <font>
      <sz val="12"/>
      <color theme="1"/>
      <name val="Arial"/>
      <family val="2"/>
    </font>
    <font>
      <sz val="10"/>
      <color theme="0" tint="-0.499984740745262"/>
      <name val="Arial"/>
      <family val="2"/>
    </font>
    <font>
      <b/>
      <sz val="11"/>
      <color rgb="FF223B7F"/>
      <name val="Arial"/>
      <family val="2"/>
    </font>
    <font>
      <sz val="11"/>
      <color theme="0" tint="-0.249977111117893"/>
      <name val="Arial"/>
      <family val="2"/>
    </font>
    <font>
      <sz val="12"/>
      <color theme="0" tint="-0.249977111117893"/>
      <name val="Arial"/>
      <family val="2"/>
    </font>
    <font>
      <sz val="9"/>
      <color theme="1"/>
      <name val="Arial"/>
      <family val="2"/>
    </font>
    <font>
      <b/>
      <sz val="20"/>
      <color theme="1"/>
      <name val="Arial"/>
      <family val="2"/>
    </font>
    <font>
      <b/>
      <sz val="12"/>
      <color rgb="FF223B7F"/>
      <name val="Arial"/>
      <family val="2"/>
    </font>
    <font>
      <b/>
      <sz val="10"/>
      <color rgb="FF223B7F"/>
      <name val="Arial"/>
      <family val="2"/>
    </font>
    <font>
      <sz val="10"/>
      <color rgb="FF223B7F"/>
      <name val="Arial"/>
      <family val="2"/>
    </font>
    <font>
      <sz val="11"/>
      <color rgb="FF223B7F"/>
      <name val="Calibri"/>
      <family val="2"/>
      <scheme val="minor"/>
    </font>
    <font>
      <b/>
      <sz val="9"/>
      <color rgb="FF223B7F"/>
      <name val="Arial"/>
      <family val="2"/>
    </font>
    <font>
      <u/>
      <sz val="11"/>
      <color theme="1"/>
      <name val="Calibri"/>
      <family val="2"/>
      <scheme val="minor"/>
    </font>
    <font>
      <b/>
      <sz val="11"/>
      <color rgb="FF223B7F"/>
      <name val="Calibri"/>
      <family val="2"/>
      <scheme val="minor"/>
    </font>
    <font>
      <sz val="12"/>
      <color theme="1"/>
      <name val="Nunito Sans"/>
    </font>
    <font>
      <sz val="11"/>
      <color rgb="FF000000"/>
      <name val="Arial"/>
      <family val="2"/>
    </font>
    <font>
      <sz val="11"/>
      <color theme="1"/>
      <name val="Calibri"/>
      <family val="2"/>
      <scheme val="minor"/>
    </font>
    <font>
      <u/>
      <sz val="12"/>
      <color theme="1"/>
      <name val="Arial"/>
      <family val="2"/>
    </font>
    <font>
      <b/>
      <sz val="12"/>
      <color rgb="FFFF0000"/>
      <name val="Nunito Sans Normal"/>
    </font>
    <font>
      <sz val="12"/>
      <color rgb="FFFF0000"/>
      <name val="Nunito Sans Normal"/>
    </font>
    <font>
      <b/>
      <sz val="10"/>
      <color rgb="FF223B7F"/>
      <name val="Nunito Sans Normal"/>
    </font>
    <font>
      <sz val="10"/>
      <color rgb="FF223B7F"/>
      <name val="Nunito Sans Normal"/>
    </font>
    <font>
      <sz val="10"/>
      <color rgb="FF223B7F"/>
      <name val="Nunito Sans"/>
    </font>
    <font>
      <u/>
      <sz val="12"/>
      <color rgb="FFFF0000"/>
      <name val="Nunito Sans Normal"/>
    </font>
    <font>
      <b/>
      <sz val="11"/>
      <color theme="0"/>
      <name val="Arial"/>
      <family val="2"/>
    </font>
    <font>
      <b/>
      <sz val="10"/>
      <color theme="1" tint="0.34998626667073579"/>
      <name val="Arial"/>
      <family val="2"/>
    </font>
    <font>
      <b/>
      <sz val="10"/>
      <color theme="0" tint="-4.9989318521683403E-2"/>
      <name val="Arial"/>
      <family val="2"/>
    </font>
    <font>
      <sz val="12"/>
      <color theme="0" tint="-4.9989318521683403E-2"/>
      <name val="Arial"/>
      <family val="2"/>
    </font>
    <font>
      <sz val="12"/>
      <color rgb="FF223B7F"/>
      <name val="Nunito Sans Normal"/>
    </font>
    <font>
      <sz val="11"/>
      <color rgb="FF223B7F"/>
      <name val="Arial"/>
      <family val="2"/>
    </font>
    <font>
      <sz val="11"/>
      <color theme="0"/>
      <name val="Calibri"/>
      <family val="2"/>
      <scheme val="minor"/>
    </font>
    <font>
      <b/>
      <sz val="16"/>
      <color rgb="FF223B7F"/>
      <name val="Arial"/>
      <family val="2"/>
    </font>
    <font>
      <sz val="8"/>
      <name val="Calibri"/>
      <family val="2"/>
      <scheme val="minor"/>
    </font>
    <font>
      <b/>
      <sz val="14"/>
      <color rgb="FF223B7F"/>
      <name val="Arial"/>
      <family val="2"/>
    </font>
    <font>
      <u/>
      <sz val="14"/>
      <color theme="0"/>
      <name val="Franklin Gothic Book"/>
      <family val="2"/>
    </font>
    <font>
      <sz val="11"/>
      <color theme="4"/>
      <name val="Calibri"/>
      <family val="2"/>
      <scheme val="minor"/>
    </font>
    <font>
      <b/>
      <sz val="12"/>
      <color theme="0"/>
      <name val="Nunito Sans Normal"/>
    </font>
    <font>
      <sz val="11"/>
      <color theme="3"/>
      <name val="Nunito Sans Normal"/>
    </font>
    <font>
      <sz val="11"/>
      <color theme="4" tint="-0.499984740745262"/>
      <name val="Nunito Sans Normal"/>
    </font>
    <font>
      <sz val="11"/>
      <color rgb="FF223B7F"/>
      <name val="Nunito Sans Normal"/>
    </font>
    <font>
      <b/>
      <sz val="18"/>
      <color rgb="FF223B7F"/>
      <name val="Nunito Sans"/>
    </font>
    <font>
      <b/>
      <sz val="11"/>
      <color theme="1"/>
      <name val="Calibri"/>
      <family val="2"/>
      <scheme val="minor"/>
    </font>
    <font>
      <b/>
      <sz val="10"/>
      <color theme="1"/>
      <name val="Amasis MT Pro Black"/>
      <family val="1"/>
    </font>
    <font>
      <b/>
      <sz val="11"/>
      <color theme="4" tint="-0.499984740745262"/>
      <name val="Calibri"/>
      <family val="2"/>
      <scheme val="minor"/>
    </font>
    <font>
      <sz val="11"/>
      <color theme="6" tint="0.79998168889431442"/>
      <name val="Calibri"/>
      <family val="2"/>
      <scheme val="minor"/>
    </font>
    <font>
      <sz val="11"/>
      <color theme="6" tint="0.79998168889431442"/>
      <name val="Arial"/>
      <family val="2"/>
    </font>
    <font>
      <b/>
      <sz val="11"/>
      <color rgb="FFFF3737"/>
      <name val="Arial"/>
      <family val="2"/>
    </font>
    <font>
      <sz val="11"/>
      <color rgb="FFFF3737"/>
      <name val="Calibri"/>
      <family val="2"/>
      <scheme val="minor"/>
    </font>
    <font>
      <u/>
      <sz val="14"/>
      <color theme="10"/>
      <name val="Calibri"/>
      <family val="2"/>
      <scheme val="minor"/>
    </font>
    <font>
      <u/>
      <sz val="16"/>
      <color theme="0"/>
      <name val="Calibri"/>
      <family val="2"/>
      <scheme val="minor"/>
    </font>
    <font>
      <u/>
      <sz val="12"/>
      <color theme="0"/>
      <name val="Calibri"/>
      <family val="2"/>
      <scheme val="minor"/>
    </font>
    <font>
      <u/>
      <sz val="18"/>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s>
  <borders count="20">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s>
  <cellStyleXfs count="5">
    <xf numFmtId="0" fontId="0" fillId="0" borderId="0"/>
    <xf numFmtId="0" fontId="1" fillId="0" borderId="0"/>
    <xf numFmtId="0" fontId="3" fillId="0" borderId="0" applyNumberFormat="0" applyFill="0" applyBorder="0" applyAlignment="0" applyProtection="0"/>
    <xf numFmtId="9" fontId="24" fillId="0" borderId="0" applyFont="0" applyFill="0" applyBorder="0" applyAlignment="0" applyProtection="0"/>
    <xf numFmtId="43" fontId="24" fillId="0" borderId="0" applyFont="0" applyFill="0" applyBorder="0" applyAlignment="0" applyProtection="0"/>
  </cellStyleXfs>
  <cellXfs count="261">
    <xf numFmtId="0" fontId="0" fillId="0" borderId="0" xfId="0"/>
    <xf numFmtId="0" fontId="0" fillId="2" borderId="0" xfId="0" applyFill="1"/>
    <xf numFmtId="0" fontId="0" fillId="5" borderId="0" xfId="0" applyFill="1"/>
    <xf numFmtId="0" fontId="5" fillId="3" borderId="0" xfId="0" applyFont="1" applyFill="1"/>
    <xf numFmtId="0" fontId="4" fillId="3" borderId="0" xfId="0" applyFont="1" applyFill="1"/>
    <xf numFmtId="0" fontId="2" fillId="5" borderId="0" xfId="0" applyFont="1" applyFill="1"/>
    <xf numFmtId="0" fontId="8" fillId="5" borderId="0" xfId="0" applyFont="1" applyFill="1" applyAlignment="1">
      <alignment vertical="center"/>
    </xf>
    <xf numFmtId="0" fontId="10" fillId="5" borderId="0" xfId="0" applyFont="1" applyFill="1" applyAlignment="1">
      <alignment horizontal="center" vertical="center" wrapText="1"/>
    </xf>
    <xf numFmtId="0" fontId="8" fillId="5" borderId="0" xfId="0" applyFont="1" applyFill="1" applyAlignment="1">
      <alignment horizontal="left" vertical="center"/>
    </xf>
    <xf numFmtId="0" fontId="4" fillId="5" borderId="0" xfId="0" applyFont="1" applyFill="1"/>
    <xf numFmtId="0" fontId="9" fillId="5" borderId="0" xfId="0" applyFont="1" applyFill="1"/>
    <xf numFmtId="0" fontId="12" fillId="5" borderId="0" xfId="0" applyFont="1" applyFill="1" applyAlignment="1">
      <alignment vertical="center"/>
    </xf>
    <xf numFmtId="0" fontId="16" fillId="5" borderId="0" xfId="0" applyFont="1" applyFill="1" applyAlignment="1">
      <alignment vertical="center"/>
    </xf>
    <xf numFmtId="0" fontId="20" fillId="5" borderId="0" xfId="0" applyFont="1" applyFill="1"/>
    <xf numFmtId="0" fontId="7" fillId="5" borderId="0" xfId="0" applyFont="1" applyFill="1" applyAlignment="1">
      <alignment vertical="center"/>
    </xf>
    <xf numFmtId="0" fontId="14" fillId="5" borderId="0" xfId="0" applyFont="1" applyFill="1" applyAlignment="1">
      <alignment vertical="center"/>
    </xf>
    <xf numFmtId="0" fontId="19" fillId="5" borderId="0" xfId="0" applyFont="1" applyFill="1" applyAlignment="1">
      <alignment vertical="center" wrapText="1"/>
    </xf>
    <xf numFmtId="0" fontId="6" fillId="5" borderId="0" xfId="0" applyFont="1" applyFill="1" applyAlignment="1">
      <alignment vertical="center"/>
    </xf>
    <xf numFmtId="0" fontId="0" fillId="5" borderId="0" xfId="0" applyFill="1" applyAlignment="1">
      <alignment vertical="center"/>
    </xf>
    <xf numFmtId="0" fontId="13" fillId="5" borderId="0" xfId="0" applyFont="1" applyFill="1" applyAlignment="1">
      <alignment horizontal="center" vertical="center"/>
    </xf>
    <xf numFmtId="0" fontId="6" fillId="5" borderId="5" xfId="0" applyFont="1" applyFill="1" applyBorder="1" applyAlignment="1">
      <alignment vertical="center"/>
    </xf>
    <xf numFmtId="0" fontId="25" fillId="5" borderId="0" xfId="0" applyFont="1" applyFill="1" applyAlignment="1">
      <alignment vertical="center"/>
    </xf>
    <xf numFmtId="0" fontId="27" fillId="2" borderId="0" xfId="0" applyFont="1" applyFill="1"/>
    <xf numFmtId="0" fontId="27" fillId="3" borderId="0" xfId="0" applyFont="1" applyFill="1"/>
    <xf numFmtId="0" fontId="26" fillId="2" borderId="0" xfId="0" applyFont="1" applyFill="1" applyAlignment="1">
      <alignment horizontal="center"/>
    </xf>
    <xf numFmtId="0" fontId="26" fillId="3" borderId="0" xfId="0" applyFont="1" applyFill="1"/>
    <xf numFmtId="0" fontId="26" fillId="3" borderId="0" xfId="0" applyFont="1" applyFill="1" applyAlignment="1">
      <alignment horizontal="center"/>
    </xf>
    <xf numFmtId="0" fontId="28" fillId="4" borderId="0" xfId="0" applyFont="1" applyFill="1"/>
    <xf numFmtId="0" fontId="29" fillId="4" borderId="0" xfId="0" applyFont="1" applyFill="1"/>
    <xf numFmtId="0" fontId="29" fillId="5" borderId="0" xfId="0" applyFont="1" applyFill="1"/>
    <xf numFmtId="9" fontId="29" fillId="5" borderId="0" xfId="3" applyFont="1" applyFill="1" applyBorder="1" applyAlignment="1">
      <alignment horizontal="center" vertical="center"/>
    </xf>
    <xf numFmtId="0" fontId="29" fillId="2" borderId="0" xfId="0" applyFont="1" applyFill="1"/>
    <xf numFmtId="0" fontId="29" fillId="2" borderId="0" xfId="0" applyFont="1" applyFill="1" applyAlignment="1">
      <alignment horizontal="center" vertical="center"/>
    </xf>
    <xf numFmtId="0" fontId="29" fillId="5" borderId="0" xfId="0" applyFont="1" applyFill="1" applyAlignment="1">
      <alignment horizontal="center" vertical="center"/>
    </xf>
    <xf numFmtId="9" fontId="29" fillId="2" borderId="0" xfId="3" applyFont="1" applyFill="1" applyBorder="1" applyAlignment="1">
      <alignment horizontal="center" vertical="center"/>
    </xf>
    <xf numFmtId="0" fontId="30" fillId="5" borderId="0" xfId="0" applyFont="1" applyFill="1"/>
    <xf numFmtId="0" fontId="30" fillId="2" borderId="0" xfId="0" applyFont="1" applyFill="1"/>
    <xf numFmtId="9" fontId="30" fillId="2" borderId="0" xfId="3" applyFont="1" applyFill="1" applyBorder="1" applyAlignment="1">
      <alignment horizontal="center" vertical="center"/>
    </xf>
    <xf numFmtId="0" fontId="31" fillId="2" borderId="0" xfId="0" applyFont="1" applyFill="1"/>
    <xf numFmtId="0" fontId="0" fillId="7" borderId="0" xfId="0" applyFill="1"/>
    <xf numFmtId="0" fontId="0" fillId="7" borderId="0" xfId="0" applyFill="1" applyAlignment="1">
      <alignment wrapText="1"/>
    </xf>
    <xf numFmtId="0" fontId="0" fillId="5" borderId="0" xfId="0" applyFill="1" applyAlignment="1">
      <alignment vertical="center" wrapText="1"/>
    </xf>
    <xf numFmtId="0" fontId="18" fillId="5" borderId="0" xfId="0" applyFont="1" applyFill="1" applyAlignment="1">
      <alignment vertical="center" wrapText="1"/>
    </xf>
    <xf numFmtId="0" fontId="17" fillId="7" borderId="0" xfId="0" applyFont="1" applyFill="1" applyAlignment="1">
      <alignment wrapText="1"/>
    </xf>
    <xf numFmtId="0" fontId="17" fillId="3" borderId="0" xfId="0" applyFont="1" applyFill="1" applyAlignment="1">
      <alignment wrapText="1"/>
    </xf>
    <xf numFmtId="0" fontId="10" fillId="7" borderId="0" xfId="0" applyFont="1" applyFill="1" applyAlignment="1">
      <alignment vertical="center" wrapText="1"/>
    </xf>
    <xf numFmtId="0" fontId="0" fillId="3" borderId="0" xfId="0" applyFill="1" applyAlignment="1">
      <alignment wrapText="1"/>
    </xf>
    <xf numFmtId="0" fontId="8" fillId="7" borderId="0" xfId="0" applyFont="1" applyFill="1" applyAlignment="1">
      <alignment vertical="center"/>
    </xf>
    <xf numFmtId="0" fontId="8" fillId="2" borderId="0" xfId="0" applyFont="1" applyFill="1" applyAlignment="1">
      <alignment vertical="center"/>
    </xf>
    <xf numFmtId="9" fontId="30" fillId="5" borderId="0" xfId="3" applyFont="1" applyFill="1" applyBorder="1" applyAlignment="1">
      <alignment horizontal="center" vertical="center"/>
    </xf>
    <xf numFmtId="0" fontId="34" fillId="5" borderId="0" xfId="0" applyFont="1" applyFill="1"/>
    <xf numFmtId="0" fontId="35" fillId="5" borderId="0" xfId="0" applyFont="1" applyFill="1" applyAlignment="1">
      <alignment vertical="center"/>
    </xf>
    <xf numFmtId="0" fontId="31" fillId="3" borderId="0" xfId="0" applyFont="1" applyFill="1"/>
    <xf numFmtId="0" fontId="8" fillId="5" borderId="0" xfId="0" applyFont="1" applyFill="1" applyAlignment="1">
      <alignment vertical="top" wrapText="1"/>
    </xf>
    <xf numFmtId="0" fontId="13" fillId="2" borderId="0" xfId="0" applyFont="1" applyFill="1" applyAlignment="1">
      <alignment vertical="center" wrapText="1"/>
    </xf>
    <xf numFmtId="0" fontId="22" fillId="5" borderId="0" xfId="0" applyFont="1" applyFill="1" applyProtection="1">
      <protection locked="0"/>
    </xf>
    <xf numFmtId="0" fontId="5" fillId="3" borderId="0" xfId="2" applyFont="1" applyFill="1" applyAlignment="1">
      <alignment horizontal="center"/>
    </xf>
    <xf numFmtId="0" fontId="6" fillId="5" borderId="0" xfId="0" applyFont="1" applyFill="1" applyAlignment="1">
      <alignment horizontal="left" vertical="center" indent="2"/>
    </xf>
    <xf numFmtId="0" fontId="17" fillId="4" borderId="0" xfId="0" applyFont="1" applyFill="1" applyAlignment="1">
      <alignment horizontal="center" vertical="center" wrapText="1"/>
    </xf>
    <xf numFmtId="0" fontId="6" fillId="5" borderId="0" xfId="0" applyFont="1" applyFill="1" applyAlignment="1">
      <alignment horizontal="center" vertical="center"/>
    </xf>
    <xf numFmtId="0" fontId="29" fillId="2" borderId="0" xfId="0" applyFont="1" applyFill="1" applyAlignment="1">
      <alignment horizontal="center" vertical="center" wrapText="1"/>
    </xf>
    <xf numFmtId="0" fontId="6" fillId="4" borderId="0" xfId="0" applyFont="1" applyFill="1" applyAlignment="1">
      <alignment vertical="center"/>
    </xf>
    <xf numFmtId="0" fontId="0" fillId="4" borderId="0" xfId="0" applyFill="1"/>
    <xf numFmtId="0" fontId="17" fillId="5" borderId="0" xfId="0" applyFont="1" applyFill="1" applyAlignment="1">
      <alignment horizontal="center" vertical="center" wrapText="1"/>
    </xf>
    <xf numFmtId="0" fontId="6" fillId="4" borderId="0" xfId="0" applyFont="1" applyFill="1" applyAlignment="1">
      <alignment horizontal="center" vertical="center"/>
    </xf>
    <xf numFmtId="0" fontId="18" fillId="5" borderId="0" xfId="0" applyFont="1" applyFill="1" applyAlignment="1">
      <alignment horizontal="center" vertical="center" wrapText="1"/>
    </xf>
    <xf numFmtId="0" fontId="19" fillId="5" borderId="0" xfId="0" applyFont="1" applyFill="1" applyAlignment="1">
      <alignment horizontal="left" vertical="center"/>
    </xf>
    <xf numFmtId="0" fontId="38" fillId="3" borderId="0" xfId="0" applyFont="1" applyFill="1"/>
    <xf numFmtId="0" fontId="7" fillId="5" borderId="0" xfId="0" applyFont="1" applyFill="1" applyAlignment="1">
      <alignment horizontal="left" vertical="center"/>
    </xf>
    <xf numFmtId="0" fontId="39" fillId="5" borderId="0" xfId="0" applyFont="1" applyFill="1" applyAlignment="1">
      <alignment horizontal="left" vertical="center"/>
    </xf>
    <xf numFmtId="0" fontId="43" fillId="0" borderId="0" xfId="0" applyFont="1"/>
    <xf numFmtId="0" fontId="44" fillId="2" borderId="0" xfId="0" applyFont="1" applyFill="1" applyAlignment="1">
      <alignment horizontal="center"/>
    </xf>
    <xf numFmtId="0" fontId="45" fillId="9" borderId="0" xfId="0" applyFont="1" applyFill="1" applyAlignment="1">
      <alignment vertical="center"/>
    </xf>
    <xf numFmtId="0" fontId="45" fillId="2" borderId="0" xfId="0" applyFont="1" applyFill="1" applyAlignment="1">
      <alignment vertical="center"/>
    </xf>
    <xf numFmtId="0" fontId="0" fillId="5" borderId="2" xfId="0" applyFill="1" applyBorder="1"/>
    <xf numFmtId="0" fontId="52" fillId="5" borderId="0" xfId="0" applyFont="1" applyFill="1"/>
    <xf numFmtId="0" fontId="51" fillId="4" borderId="0" xfId="0" applyFont="1" applyFill="1"/>
    <xf numFmtId="0" fontId="53" fillId="5" borderId="0" xfId="0" applyFont="1" applyFill="1" applyAlignment="1">
      <alignment vertical="center"/>
    </xf>
    <xf numFmtId="14" fontId="0" fillId="0" borderId="0" xfId="0" applyNumberFormat="1"/>
    <xf numFmtId="49" fontId="0" fillId="0" borderId="0" xfId="0" applyNumberFormat="1"/>
    <xf numFmtId="165" fontId="30" fillId="2" borderId="0" xfId="4" applyNumberFormat="1" applyFont="1" applyFill="1" applyAlignment="1">
      <alignment horizontal="center" vertical="center"/>
    </xf>
    <xf numFmtId="0" fontId="52" fillId="5" borderId="0" xfId="0" applyFont="1" applyFill="1" applyAlignment="1">
      <alignment horizontal="center"/>
    </xf>
    <xf numFmtId="0" fontId="54" fillId="5" borderId="0" xfId="0" applyFont="1" applyFill="1" applyAlignment="1">
      <alignment horizontal="center" vertical="center" wrapText="1"/>
    </xf>
    <xf numFmtId="0" fontId="55" fillId="5" borderId="0" xfId="0" applyFont="1" applyFill="1"/>
    <xf numFmtId="9" fontId="30" fillId="5" borderId="0" xfId="3" applyFont="1" applyFill="1" applyAlignment="1">
      <alignment horizontal="center" vertical="center"/>
    </xf>
    <xf numFmtId="0" fontId="58" fillId="3" borderId="0" xfId="2" applyFont="1" applyFill="1" applyAlignment="1">
      <alignment horizontal="center" vertical="center"/>
    </xf>
    <xf numFmtId="0" fontId="17" fillId="2" borderId="0" xfId="0" applyFont="1" applyFill="1" applyAlignment="1">
      <alignment horizontal="center" vertical="center" wrapText="1"/>
    </xf>
    <xf numFmtId="0" fontId="8" fillId="2" borderId="0" xfId="0" applyFont="1" applyFill="1" applyAlignment="1">
      <alignment horizontal="center" vertical="center"/>
    </xf>
    <xf numFmtId="0" fontId="8" fillId="7" borderId="0" xfId="0" applyFont="1" applyFill="1" applyAlignment="1">
      <alignment horizontal="center" vertical="center"/>
    </xf>
    <xf numFmtId="0" fontId="7" fillId="5" borderId="0" xfId="0" applyFont="1" applyFill="1" applyAlignment="1">
      <alignment horizontal="left" vertical="center"/>
    </xf>
    <xf numFmtId="0" fontId="7" fillId="5" borderId="3" xfId="0" applyFont="1" applyFill="1" applyBorder="1" applyAlignment="1">
      <alignment horizontal="left" vertical="center"/>
    </xf>
    <xf numFmtId="0" fontId="8" fillId="5" borderId="0" xfId="0" applyFont="1" applyFill="1" applyAlignment="1">
      <alignment horizontal="left" vertical="center" wrapText="1"/>
    </xf>
    <xf numFmtId="0" fontId="4" fillId="3" borderId="0" xfId="0" applyFont="1" applyFill="1" applyAlignment="1">
      <alignment horizontal="center"/>
    </xf>
    <xf numFmtId="0" fontId="42" fillId="3" borderId="0" xfId="2" applyFont="1" applyFill="1" applyAlignment="1">
      <alignment horizontal="center"/>
    </xf>
    <xf numFmtId="0" fontId="41" fillId="7" borderId="6" xfId="0" applyFont="1" applyFill="1" applyBorder="1" applyAlignment="1" applyProtection="1">
      <alignment horizontal="center" vertical="center"/>
      <protection locked="0"/>
    </xf>
    <xf numFmtId="0" fontId="41" fillId="7" borderId="7" xfId="0" applyFont="1" applyFill="1" applyBorder="1" applyAlignment="1" applyProtection="1">
      <alignment horizontal="center" vertical="center"/>
      <protection locked="0"/>
    </xf>
    <xf numFmtId="0" fontId="17" fillId="7" borderId="0" xfId="0" applyFont="1" applyFill="1" applyAlignment="1">
      <alignment horizontal="center" wrapText="1"/>
    </xf>
    <xf numFmtId="0" fontId="0" fillId="7" borderId="0" xfId="0" applyFill="1" applyAlignment="1">
      <alignment horizontal="center" wrapText="1"/>
    </xf>
    <xf numFmtId="0" fontId="57" fillId="3" borderId="0" xfId="2" applyFont="1" applyFill="1" applyAlignment="1">
      <alignment horizontal="center" vertical="center" wrapText="1"/>
    </xf>
    <xf numFmtId="0" fontId="4" fillId="2" borderId="0" xfId="0" applyFont="1" applyFill="1" applyAlignment="1">
      <alignment horizontal="center" vertical="center" wrapText="1"/>
    </xf>
    <xf numFmtId="0" fontId="10" fillId="4" borderId="0" xfId="0" applyFont="1" applyFill="1" applyAlignment="1">
      <alignment horizontal="center" vertical="center"/>
    </xf>
    <xf numFmtId="0" fontId="6"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0" xfId="0" applyFont="1" applyFill="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14" fontId="11" fillId="2" borderId="5" xfId="0" applyNumberFormat="1"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6" fillId="6" borderId="0" xfId="0" applyFont="1" applyFill="1" applyAlignment="1">
      <alignment horizontal="center" vertical="center"/>
    </xf>
    <xf numFmtId="0" fontId="6" fillId="6" borderId="4" xfId="0" applyFont="1" applyFill="1" applyBorder="1" applyAlignment="1">
      <alignment horizontal="center" vertical="center"/>
    </xf>
    <xf numFmtId="0" fontId="6" fillId="6" borderId="0" xfId="0" applyFont="1" applyFill="1" applyAlignment="1" applyProtection="1">
      <alignment horizontal="center" vertical="center"/>
      <protection locked="0"/>
    </xf>
    <xf numFmtId="0" fontId="6" fillId="6" borderId="4" xfId="0" applyFont="1" applyFill="1" applyBorder="1" applyAlignment="1" applyProtection="1">
      <alignment horizontal="center" vertical="center"/>
      <protection locked="0"/>
    </xf>
    <xf numFmtId="14" fontId="11" fillId="6" borderId="5" xfId="0" applyNumberFormat="1"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4" xfId="0" applyFont="1" applyFill="1" applyBorder="1" applyAlignment="1" applyProtection="1">
      <alignment horizontal="center" vertical="center"/>
      <protection locked="0"/>
    </xf>
    <xf numFmtId="0" fontId="11" fillId="6" borderId="5" xfId="0" applyFont="1" applyFill="1" applyBorder="1" applyAlignment="1" applyProtection="1">
      <alignment horizontal="center" vertical="center"/>
      <protection locked="0"/>
    </xf>
    <xf numFmtId="0" fontId="11" fillId="6" borderId="5" xfId="0" applyFont="1" applyFill="1" applyBorder="1" applyAlignment="1" applyProtection="1">
      <alignment horizontal="center" vertical="center" wrapText="1"/>
      <protection locked="0"/>
    </xf>
    <xf numFmtId="0" fontId="11" fillId="6" borderId="0" xfId="0" applyFont="1" applyFill="1" applyAlignment="1" applyProtection="1">
      <alignment horizontal="center" vertical="center" wrapText="1"/>
      <protection locked="0"/>
    </xf>
    <xf numFmtId="0" fontId="11" fillId="6" borderId="4" xfId="0" applyFont="1" applyFill="1" applyBorder="1" applyAlignment="1" applyProtection="1">
      <alignment horizontal="center" vertical="center" wrapText="1"/>
      <protection locked="0"/>
    </xf>
    <xf numFmtId="14" fontId="11" fillId="6" borderId="0" xfId="0" applyNumberFormat="1" applyFont="1" applyFill="1" applyAlignment="1" applyProtection="1">
      <alignment horizontal="center" vertical="center"/>
      <protection locked="0"/>
    </xf>
    <xf numFmtId="0" fontId="0" fillId="2" borderId="0" xfId="0" applyFill="1" applyAlignment="1" applyProtection="1">
      <alignment horizontal="center" wrapText="1"/>
      <protection locked="0"/>
    </xf>
    <xf numFmtId="14" fontId="11" fillId="2" borderId="0" xfId="0" applyNumberFormat="1" applyFont="1" applyFill="1" applyAlignment="1" applyProtection="1">
      <alignment horizontal="center" vertical="center"/>
      <protection locked="0"/>
    </xf>
    <xf numFmtId="0" fontId="10" fillId="4" borderId="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wrapText="1"/>
    </xf>
    <xf numFmtId="0" fontId="10" fillId="4" borderId="0" xfId="0" applyFont="1" applyFill="1" applyAlignment="1">
      <alignment horizontal="center" vertical="center" wrapText="1"/>
    </xf>
    <xf numFmtId="0" fontId="11" fillId="2" borderId="5"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4" fillId="2" borderId="0" xfId="0" applyFont="1" applyFill="1" applyAlignment="1">
      <alignment horizontal="left" vertical="center" wrapText="1" indent="1"/>
    </xf>
    <xf numFmtId="0" fontId="2" fillId="2" borderId="0" xfId="0" applyFont="1" applyFill="1" applyAlignment="1">
      <alignment horizontal="left" vertical="center" wrapText="1" indent="1"/>
    </xf>
    <xf numFmtId="0" fontId="6" fillId="2" borderId="0" xfId="0" applyFont="1" applyFill="1" applyAlignment="1">
      <alignment horizontal="left" vertical="center" wrapText="1" indent="1"/>
    </xf>
    <xf numFmtId="0" fontId="8" fillId="5" borderId="0" xfId="0" applyFont="1" applyFill="1" applyAlignment="1">
      <alignment horizontal="left" vertical="top" wrapText="1"/>
    </xf>
    <xf numFmtId="0" fontId="9" fillId="2" borderId="0" xfId="0" applyFont="1" applyFill="1" applyAlignment="1">
      <alignment horizontal="center"/>
    </xf>
    <xf numFmtId="164" fontId="12" fillId="2" borderId="0" xfId="0" applyNumberFormat="1" applyFont="1" applyFill="1" applyAlignment="1" applyProtection="1">
      <alignment horizontal="center" vertical="center"/>
      <protection locked="0"/>
    </xf>
    <xf numFmtId="0" fontId="4" fillId="2" borderId="0" xfId="0" applyFont="1" applyFill="1" applyAlignment="1">
      <alignment horizontal="center" vertical="top" wrapText="1"/>
    </xf>
    <xf numFmtId="0" fontId="17" fillId="4" borderId="8"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4" borderId="10"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7" fillId="4" borderId="0" xfId="0" applyFont="1" applyFill="1" applyAlignment="1">
      <alignment horizontal="left" vertical="center" wrapText="1"/>
    </xf>
    <xf numFmtId="0" fontId="17" fillId="4" borderId="12"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0" xfId="0" applyFont="1" applyFill="1" applyAlignment="1">
      <alignment horizontal="left" vertical="center" wrapText="1"/>
    </xf>
    <xf numFmtId="0" fontId="4" fillId="5" borderId="11"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0" fillId="2" borderId="2"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5" borderId="2" xfId="0" applyFill="1" applyBorder="1" applyAlignment="1" applyProtection="1">
      <alignment horizontal="center"/>
      <protection locked="0"/>
    </xf>
    <xf numFmtId="0" fontId="0" fillId="5" borderId="12" xfId="0" applyFill="1" applyBorder="1" applyAlignment="1" applyProtection="1">
      <alignment horizontal="center"/>
      <protection locked="0"/>
    </xf>
    <xf numFmtId="0" fontId="0" fillId="5" borderId="15" xfId="0" applyFill="1" applyBorder="1" applyAlignment="1" applyProtection="1">
      <alignment horizontal="center"/>
      <protection locked="0"/>
    </xf>
    <xf numFmtId="0" fontId="0" fillId="5" borderId="16" xfId="0" applyFill="1" applyBorder="1" applyAlignment="1" applyProtection="1">
      <alignment horizontal="center"/>
      <protection locked="0"/>
    </xf>
    <xf numFmtId="0" fontId="14" fillId="5" borderId="0" xfId="0" applyFont="1" applyFill="1" applyAlignment="1">
      <alignment horizontal="left" vertical="center"/>
    </xf>
    <xf numFmtId="0" fontId="14" fillId="5" borderId="3" xfId="0" applyFont="1" applyFill="1" applyBorder="1" applyAlignment="1">
      <alignment horizontal="left" vertical="center"/>
    </xf>
    <xf numFmtId="0" fontId="8" fillId="5" borderId="0" xfId="0" applyFont="1" applyFill="1" applyAlignment="1">
      <alignment horizontal="left" vertical="center"/>
    </xf>
    <xf numFmtId="0" fontId="19" fillId="4" borderId="0" xfId="0" applyFont="1" applyFill="1" applyAlignment="1">
      <alignment horizontal="center" vertical="center" wrapText="1"/>
    </xf>
    <xf numFmtId="0" fontId="7" fillId="2" borderId="0" xfId="0" applyFont="1" applyFill="1" applyAlignment="1" applyProtection="1">
      <alignment horizontal="center" vertical="center"/>
      <protection locked="0"/>
    </xf>
    <xf numFmtId="0" fontId="4" fillId="2" borderId="11"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0" xfId="0" applyFont="1" applyFill="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0" fillId="2" borderId="0" xfId="0" applyFill="1" applyAlignment="1" applyProtection="1">
      <alignment horizontal="center"/>
      <protection locked="0"/>
    </xf>
    <xf numFmtId="0" fontId="16" fillId="4" borderId="0" xfId="0" applyFont="1" applyFill="1" applyAlignment="1">
      <alignment horizontal="center"/>
    </xf>
    <xf numFmtId="0" fontId="0" fillId="2" borderId="15"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5" fillId="3" borderId="0" xfId="2" applyFont="1" applyFill="1" applyAlignment="1">
      <alignment horizontal="center"/>
    </xf>
    <xf numFmtId="0" fontId="6" fillId="2" borderId="0" xfId="0" applyFont="1" applyFill="1" applyAlignment="1">
      <alignment horizontal="left" vertical="center" indent="2"/>
    </xf>
    <xf numFmtId="0" fontId="6" fillId="2" borderId="4" xfId="0" applyFont="1" applyFill="1" applyBorder="1" applyAlignment="1">
      <alignment horizontal="left" vertical="center" indent="2"/>
    </xf>
    <xf numFmtId="0" fontId="19" fillId="4" borderId="0" xfId="0" applyFont="1" applyFill="1" applyAlignment="1">
      <alignment horizontal="center" vertical="center"/>
    </xf>
    <xf numFmtId="0" fontId="19" fillId="4" borderId="4" xfId="0" applyFont="1" applyFill="1" applyBorder="1" applyAlignment="1">
      <alignment horizontal="center" vertical="center"/>
    </xf>
    <xf numFmtId="0" fontId="0" fillId="4" borderId="0" xfId="0" applyFill="1" applyAlignment="1">
      <alignment horizontal="center"/>
    </xf>
    <xf numFmtId="0" fontId="0" fillId="5" borderId="0" xfId="0" applyFill="1" applyAlignment="1">
      <alignment horizontal="left" vertical="center"/>
    </xf>
    <xf numFmtId="0" fontId="6" fillId="5" borderId="0" xfId="0" applyFont="1" applyFill="1" applyAlignment="1">
      <alignment horizontal="left" vertical="center" indent="2"/>
    </xf>
    <xf numFmtId="0" fontId="6" fillId="5" borderId="4" xfId="0" applyFont="1" applyFill="1" applyBorder="1" applyAlignment="1">
      <alignment horizontal="left" vertical="center" indent="2"/>
    </xf>
    <xf numFmtId="0" fontId="19" fillId="4" borderId="4" xfId="0" applyFont="1" applyFill="1" applyBorder="1" applyAlignment="1">
      <alignment horizontal="center" vertical="center" wrapText="1"/>
    </xf>
    <xf numFmtId="0" fontId="5" fillId="3" borderId="0" xfId="2" applyFont="1" applyFill="1" applyAlignment="1">
      <alignment horizontal="center" vertical="center"/>
    </xf>
    <xf numFmtId="0" fontId="16" fillId="4" borderId="0" xfId="2" applyFont="1" applyFill="1" applyAlignment="1">
      <alignment horizontal="center"/>
    </xf>
    <xf numFmtId="0" fontId="32" fillId="3" borderId="0" xfId="0" applyFont="1" applyFill="1" applyAlignment="1">
      <alignment horizontal="center" vertical="center" wrapText="1"/>
    </xf>
    <xf numFmtId="0" fontId="16" fillId="5" borderId="0" xfId="0" applyFont="1" applyFill="1" applyAlignment="1">
      <alignment horizontal="center" vertical="center"/>
    </xf>
    <xf numFmtId="0" fontId="0" fillId="2" borderId="0" xfId="0" applyFill="1" applyAlignment="1">
      <alignment horizontal="center"/>
    </xf>
    <xf numFmtId="0" fontId="6" fillId="5" borderId="5" xfId="0" applyFont="1" applyFill="1" applyBorder="1" applyAlignment="1">
      <alignment horizontal="center" vertical="center"/>
    </xf>
    <xf numFmtId="0" fontId="6" fillId="2" borderId="1" xfId="0" applyFont="1" applyFill="1" applyBorder="1" applyAlignment="1">
      <alignment horizontal="center" vertical="center"/>
    </xf>
    <xf numFmtId="0" fontId="6" fillId="5" borderId="0" xfId="0" applyFont="1" applyFill="1" applyAlignment="1">
      <alignment horizontal="center" vertical="center"/>
    </xf>
    <xf numFmtId="0" fontId="6" fillId="5" borderId="1" xfId="0" applyFont="1" applyFill="1" applyBorder="1" applyAlignment="1">
      <alignment horizontal="center" vertical="center"/>
    </xf>
    <xf numFmtId="0" fontId="16" fillId="4" borderId="0" xfId="0" applyFont="1" applyFill="1" applyAlignment="1">
      <alignment horizontal="center" wrapText="1"/>
    </xf>
    <xf numFmtId="0" fontId="16" fillId="4" borderId="0" xfId="0" applyFont="1" applyFill="1" applyAlignment="1">
      <alignment horizontal="center" vertical="center"/>
    </xf>
    <xf numFmtId="0" fontId="0" fillId="4" borderId="0" xfId="0" applyFill="1" applyAlignment="1">
      <alignment horizontal="center" vertical="center"/>
    </xf>
    <xf numFmtId="0" fontId="17" fillId="7" borderId="0" xfId="0" applyFont="1" applyFill="1" applyAlignment="1">
      <alignment horizontal="center" vertical="center" wrapText="1"/>
    </xf>
    <xf numFmtId="0" fontId="8" fillId="5" borderId="0" xfId="0" applyFont="1" applyFill="1" applyAlignment="1">
      <alignment horizontal="center" vertical="center"/>
    </xf>
    <xf numFmtId="0" fontId="51" fillId="4" borderId="0" xfId="0" applyFont="1" applyFill="1" applyAlignment="1">
      <alignment horizontal="center"/>
    </xf>
    <xf numFmtId="0" fontId="49" fillId="5" borderId="2" xfId="0" applyFont="1" applyFill="1" applyBorder="1" applyAlignment="1">
      <alignment horizontal="center"/>
    </xf>
    <xf numFmtId="0" fontId="49" fillId="5" borderId="0" xfId="0" applyFont="1" applyFill="1" applyAlignment="1">
      <alignment horizontal="center"/>
    </xf>
    <xf numFmtId="0" fontId="0" fillId="2" borderId="1" xfId="0" applyFill="1" applyBorder="1" applyAlignment="1" applyProtection="1">
      <alignment horizontal="center"/>
      <protection locked="0"/>
    </xf>
    <xf numFmtId="0" fontId="21" fillId="4" borderId="0" xfId="0" applyFont="1" applyFill="1" applyAlignment="1">
      <alignment horizontal="center" vertical="center"/>
    </xf>
    <xf numFmtId="0" fontId="0" fillId="5" borderId="17" xfId="0" applyFill="1" applyBorder="1" applyAlignment="1" applyProtection="1">
      <alignment horizontal="center" vertical="center"/>
      <protection locked="0"/>
    </xf>
    <xf numFmtId="0" fontId="0" fillId="5" borderId="18" xfId="0" applyFill="1" applyBorder="1" applyAlignment="1" applyProtection="1">
      <alignment horizontal="center" vertical="center"/>
      <protection locked="0"/>
    </xf>
    <xf numFmtId="0" fontId="0" fillId="5" borderId="1" xfId="0" applyFill="1" applyBorder="1" applyAlignment="1" applyProtection="1">
      <alignment horizontal="center"/>
      <protection locked="0"/>
    </xf>
    <xf numFmtId="0" fontId="0" fillId="2" borderId="2" xfId="0" applyFill="1" applyBorder="1" applyAlignment="1">
      <alignment horizontal="center"/>
    </xf>
    <xf numFmtId="0" fontId="0" fillId="2" borderId="1" xfId="0" applyFill="1" applyBorder="1" applyAlignment="1">
      <alignment horizontal="center"/>
    </xf>
    <xf numFmtId="0" fontId="0" fillId="5" borderId="2" xfId="0" applyFill="1" applyBorder="1" applyAlignment="1">
      <alignment horizontal="center"/>
    </xf>
    <xf numFmtId="0" fontId="0" fillId="5" borderId="1" xfId="0" applyFill="1" applyBorder="1" applyAlignment="1">
      <alignment horizontal="center"/>
    </xf>
    <xf numFmtId="0" fontId="33" fillId="2" borderId="0" xfId="0" applyFont="1" applyFill="1" applyAlignment="1">
      <alignment horizontal="center"/>
    </xf>
    <xf numFmtId="0" fontId="6" fillId="5" borderId="5" xfId="0" applyFont="1" applyFill="1" applyBorder="1" applyAlignment="1" applyProtection="1">
      <alignment horizontal="center" vertical="center"/>
      <protection locked="0"/>
    </xf>
    <xf numFmtId="0" fontId="13" fillId="2" borderId="0" xfId="0" applyFont="1" applyFill="1" applyAlignment="1">
      <alignment horizontal="center" vertical="center" wrapText="1"/>
    </xf>
    <xf numFmtId="0" fontId="0" fillId="5" borderId="0" xfId="0" applyFill="1" applyAlignment="1">
      <alignment horizontal="center"/>
    </xf>
    <xf numFmtId="0" fontId="6" fillId="2" borderId="0" xfId="0" applyFont="1" applyFill="1" applyAlignment="1">
      <alignment horizontal="left" vertical="center" wrapText="1" indent="2"/>
    </xf>
    <xf numFmtId="0" fontId="6" fillId="2" borderId="4" xfId="0" applyFont="1" applyFill="1" applyBorder="1" applyAlignment="1">
      <alignment horizontal="left" vertical="center" wrapText="1" indent="2"/>
    </xf>
    <xf numFmtId="0" fontId="6" fillId="5" borderId="0" xfId="0" applyFont="1" applyFill="1" applyAlignment="1">
      <alignment horizontal="left" vertical="center" wrapText="1" indent="2"/>
    </xf>
    <xf numFmtId="0" fontId="6" fillId="5" borderId="4" xfId="0" applyFont="1" applyFill="1" applyBorder="1" applyAlignment="1">
      <alignment horizontal="left" vertical="center" wrapText="1" indent="2"/>
    </xf>
    <xf numFmtId="0" fontId="6" fillId="2" borderId="0" xfId="0" applyFont="1" applyFill="1" applyAlignment="1">
      <alignment vertical="center" wrapText="1"/>
    </xf>
    <xf numFmtId="0" fontId="6" fillId="2" borderId="4" xfId="0" applyFont="1" applyFill="1" applyBorder="1" applyAlignment="1">
      <alignment vertical="center" wrapText="1"/>
    </xf>
    <xf numFmtId="0" fontId="6" fillId="5" borderId="0" xfId="0" applyFont="1" applyFill="1" applyAlignment="1">
      <alignment horizontal="left" vertical="center" wrapText="1"/>
    </xf>
    <xf numFmtId="0" fontId="6" fillId="5" borderId="4" xfId="0" applyFont="1" applyFill="1" applyBorder="1" applyAlignment="1">
      <alignment horizontal="left" vertical="center" wrapText="1"/>
    </xf>
    <xf numFmtId="0" fontId="17" fillId="4" borderId="0" xfId="0" applyFont="1" applyFill="1" applyAlignment="1">
      <alignment horizontal="center" vertical="center" wrapText="1"/>
    </xf>
    <xf numFmtId="0" fontId="6" fillId="2" borderId="0" xfId="0" applyFont="1" applyFill="1" applyAlignment="1">
      <alignment horizontal="left" vertical="center"/>
    </xf>
    <xf numFmtId="0" fontId="6" fillId="2" borderId="1" xfId="0" applyFont="1" applyFill="1" applyBorder="1" applyAlignment="1">
      <alignment horizontal="left" vertical="center"/>
    </xf>
    <xf numFmtId="0" fontId="19" fillId="4" borderId="1" xfId="0" applyFont="1" applyFill="1" applyBorder="1" applyAlignment="1">
      <alignment horizontal="center" vertical="center"/>
    </xf>
    <xf numFmtId="0" fontId="23" fillId="5" borderId="0" xfId="0" applyFont="1" applyFill="1" applyAlignment="1">
      <alignment horizontal="left" vertical="center" indent="2"/>
    </xf>
    <xf numFmtId="0" fontId="23" fillId="5" borderId="4" xfId="0" applyFont="1" applyFill="1" applyBorder="1" applyAlignment="1">
      <alignment horizontal="left" vertical="center" indent="2"/>
    </xf>
    <xf numFmtId="0" fontId="0" fillId="5" borderId="0" xfId="0" applyFill="1" applyAlignment="1" applyProtection="1">
      <alignment horizontal="center"/>
      <protection locked="0"/>
    </xf>
    <xf numFmtId="0" fontId="6" fillId="2" borderId="5" xfId="0" applyFont="1" applyFill="1" applyBorder="1" applyAlignment="1" applyProtection="1">
      <alignment horizontal="center" vertical="center"/>
      <protection locked="0"/>
    </xf>
    <xf numFmtId="0" fontId="13" fillId="5" borderId="0" xfId="0" applyFont="1" applyFill="1" applyAlignment="1">
      <alignment horizontal="center" vertical="center" wrapText="1"/>
    </xf>
    <xf numFmtId="0" fontId="19" fillId="4" borderId="1" xfId="0" applyFont="1" applyFill="1" applyBorder="1" applyAlignment="1">
      <alignment horizontal="center" vertical="center" wrapText="1"/>
    </xf>
    <xf numFmtId="0" fontId="18" fillId="4" borderId="0" xfId="0" applyFont="1" applyFill="1" applyAlignment="1">
      <alignment horizontal="center" vertical="center" wrapText="1"/>
    </xf>
    <xf numFmtId="0" fontId="6" fillId="5" borderId="0" xfId="0" applyFont="1" applyFill="1" applyAlignment="1">
      <alignment horizontal="left" vertical="center"/>
    </xf>
    <xf numFmtId="0" fontId="6" fillId="5" borderId="1" xfId="0" applyFont="1" applyFill="1" applyBorder="1" applyAlignment="1">
      <alignment horizontal="left" vertical="center"/>
    </xf>
    <xf numFmtId="0" fontId="23" fillId="5" borderId="0" xfId="0" applyFont="1" applyFill="1" applyAlignment="1">
      <alignment horizontal="left" vertical="center"/>
    </xf>
    <xf numFmtId="0" fontId="23" fillId="5" borderId="1" xfId="0" applyFont="1" applyFill="1" applyBorder="1" applyAlignment="1">
      <alignment horizontal="left" vertical="center"/>
    </xf>
    <xf numFmtId="0" fontId="6" fillId="2" borderId="19"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5" borderId="19" xfId="0" applyFont="1" applyFill="1" applyBorder="1" applyAlignment="1" applyProtection="1">
      <alignment horizontal="center" vertical="center"/>
      <protection locked="0"/>
    </xf>
    <xf numFmtId="0" fontId="23" fillId="5" borderId="19"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23" fillId="5" borderId="2" xfId="0" applyFont="1" applyFill="1" applyBorder="1" applyAlignment="1" applyProtection="1">
      <alignment horizontal="center" vertical="center"/>
      <protection locked="0"/>
    </xf>
    <xf numFmtId="0" fontId="23" fillId="5" borderId="0" xfId="0" applyFont="1" applyFill="1" applyAlignment="1" applyProtection="1">
      <alignment horizontal="center" vertical="center"/>
      <protection locked="0"/>
    </xf>
    <xf numFmtId="0" fontId="20" fillId="2" borderId="0" xfId="0" applyFont="1" applyFill="1" applyAlignment="1" applyProtection="1">
      <alignment horizontal="center"/>
      <protection locked="0"/>
    </xf>
    <xf numFmtId="0" fontId="19" fillId="4" borderId="5" xfId="0" applyFont="1" applyFill="1" applyBorder="1" applyAlignment="1">
      <alignment horizontal="center" vertical="center"/>
    </xf>
    <xf numFmtId="0" fontId="59" fillId="3" borderId="0" xfId="2" applyFont="1" applyFill="1" applyAlignment="1">
      <alignment horizontal="center" vertical="center" wrapText="1"/>
    </xf>
    <xf numFmtId="0" fontId="16" fillId="4" borderId="0" xfId="0" applyFont="1" applyFill="1" applyAlignment="1">
      <alignment horizontal="left" vertical="center" indent="2"/>
    </xf>
    <xf numFmtId="0" fontId="16" fillId="4" borderId="4" xfId="0" applyFont="1" applyFill="1" applyBorder="1" applyAlignment="1">
      <alignment horizontal="center" vertical="center"/>
    </xf>
    <xf numFmtId="0" fontId="16" fillId="2" borderId="0" xfId="0" applyFont="1" applyFill="1" applyAlignment="1" applyProtection="1">
      <alignment horizontal="center" vertical="center"/>
      <protection locked="0"/>
    </xf>
    <xf numFmtId="0" fontId="28" fillId="4" borderId="0" xfId="0" applyFont="1" applyFill="1" applyAlignment="1">
      <alignment horizontal="center"/>
    </xf>
    <xf numFmtId="0" fontId="27" fillId="5" borderId="0" xfId="0" applyFont="1" applyFill="1" applyAlignment="1">
      <alignment horizontal="center"/>
    </xf>
    <xf numFmtId="0" fontId="27" fillId="2" borderId="0" xfId="0" applyFont="1" applyFill="1" applyAlignment="1" applyProtection="1">
      <alignment horizontal="center" vertical="top" wrapText="1"/>
      <protection locked="0"/>
    </xf>
    <xf numFmtId="0" fontId="27" fillId="2" borderId="0" xfId="0" applyFont="1" applyFill="1" applyAlignment="1" applyProtection="1">
      <alignment horizontal="center" vertical="top"/>
      <protection locked="0"/>
    </xf>
    <xf numFmtId="0" fontId="29" fillId="2" borderId="0" xfId="0" applyFont="1" applyFill="1" applyAlignment="1">
      <alignment horizontal="center" vertical="center"/>
    </xf>
    <xf numFmtId="0" fontId="29" fillId="4" borderId="0" xfId="0" applyFont="1" applyFill="1" applyAlignment="1">
      <alignment horizontal="center" vertical="center" wrapText="1"/>
    </xf>
    <xf numFmtId="0" fontId="29" fillId="5" borderId="0" xfId="0" applyFont="1" applyFill="1" applyAlignment="1">
      <alignment horizontal="center" vertical="center"/>
    </xf>
    <xf numFmtId="9" fontId="29" fillId="2" borderId="0" xfId="3" applyFont="1" applyFill="1" applyBorder="1" applyAlignment="1">
      <alignment horizontal="center" vertical="center"/>
    </xf>
    <xf numFmtId="0" fontId="47" fillId="5" borderId="0" xfId="0" applyFont="1" applyFill="1" applyAlignment="1" applyProtection="1">
      <alignment horizontal="center" vertical="center" wrapText="1"/>
      <protection locked="0"/>
    </xf>
    <xf numFmtId="0" fontId="56" fillId="2" borderId="0" xfId="2" applyFont="1" applyFill="1" applyAlignment="1">
      <alignment horizontal="center" vertical="center" wrapText="1"/>
    </xf>
    <xf numFmtId="0" fontId="48" fillId="2" borderId="0" xfId="0" applyFont="1" applyFill="1" applyAlignment="1">
      <alignment horizontal="center"/>
    </xf>
    <xf numFmtId="0" fontId="46" fillId="2" borderId="0" xfId="0" applyFont="1" applyFill="1" applyAlignment="1" applyProtection="1">
      <alignment horizontal="center"/>
      <protection locked="0"/>
    </xf>
    <xf numFmtId="165" fontId="30" fillId="5" borderId="0" xfId="4" applyNumberFormat="1" applyFont="1" applyFill="1" applyBorder="1" applyAlignment="1">
      <alignment horizontal="center" vertical="center"/>
    </xf>
    <xf numFmtId="0" fontId="36" fillId="8" borderId="0" xfId="0" applyFont="1" applyFill="1" applyAlignment="1">
      <alignment horizontal="center"/>
    </xf>
  </cellXfs>
  <cellStyles count="5">
    <cellStyle name="Excel Built-in Normal" xfId="1" xr:uid="{00000000-0005-0000-0000-000006000000}"/>
    <cellStyle name="Hipervínculo" xfId="2" builtinId="8"/>
    <cellStyle name="Millares" xfId="4" builtinId="3"/>
    <cellStyle name="Normal" xfId="0" builtinId="0"/>
    <cellStyle name="Porcentaje" xfId="3" builtinId="5"/>
  </cellStyles>
  <dxfs count="6">
    <dxf>
      <fill>
        <patternFill>
          <bgColor theme="6" tint="0.79998168889431442"/>
        </patternFill>
      </fill>
    </dxf>
    <dxf>
      <fill>
        <patternFill>
          <bgColor theme="0" tint="-4.9989318521683403E-2"/>
        </patternFill>
      </fill>
    </dxf>
    <dxf>
      <fill>
        <patternFill>
          <bgColor theme="0" tint="-4.9989318521683403E-2"/>
        </patternFill>
      </fill>
    </dxf>
    <dxf>
      <fill>
        <patternFill>
          <bgColor rgb="FFFFC000"/>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3737"/>
      <color rgb="FFBFD5F3"/>
      <color rgb="FFFDC407"/>
      <color rgb="FF223B7F"/>
      <color rgb="FF000000"/>
      <color rgb="FFFFF9E7"/>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647700</xdr:colOff>
      <xdr:row>1</xdr:row>
      <xdr:rowOff>19050</xdr:rowOff>
    </xdr:from>
    <xdr:to>
      <xdr:col>2</xdr:col>
      <xdr:colOff>483871</xdr:colOff>
      <xdr:row>3</xdr:row>
      <xdr:rowOff>225252</xdr:rowOff>
    </xdr:to>
    <xdr:pic>
      <xdr:nvPicPr>
        <xdr:cNvPr id="2" name="Imagen 1">
          <a:extLst>
            <a:ext uri="{FF2B5EF4-FFF2-40B4-BE49-F238E27FC236}">
              <a16:creationId xmlns:a16="http://schemas.microsoft.com/office/drawing/2014/main" id="{651D5CBB-481B-40F5-84C2-C33B28EF89AA}"/>
            </a:ext>
          </a:extLst>
        </xdr:cNvPr>
        <xdr:cNvPicPr>
          <a:picLocks noChangeAspect="1"/>
        </xdr:cNvPicPr>
      </xdr:nvPicPr>
      <xdr:blipFill>
        <a:blip xmlns:r="http://schemas.openxmlformats.org/officeDocument/2006/relationships" r:embed="rId1"/>
        <a:stretch>
          <a:fillRect/>
        </a:stretch>
      </xdr:blipFill>
      <xdr:spPr>
        <a:xfrm>
          <a:off x="647700" y="209550"/>
          <a:ext cx="914401" cy="592917"/>
        </a:xfrm>
        <a:prstGeom prst="rect">
          <a:avLst/>
        </a:prstGeom>
      </xdr:spPr>
    </xdr:pic>
    <xdr:clientData/>
  </xdr:twoCellAnchor>
  <xdr:twoCellAnchor editAs="oneCell">
    <xdr:from>
      <xdr:col>4</xdr:col>
      <xdr:colOff>57150</xdr:colOff>
      <xdr:row>13</xdr:row>
      <xdr:rowOff>180975</xdr:rowOff>
    </xdr:from>
    <xdr:to>
      <xdr:col>5</xdr:col>
      <xdr:colOff>577215</xdr:colOff>
      <xdr:row>17</xdr:row>
      <xdr:rowOff>1693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9</xdr:col>
      <xdr:colOff>14654</xdr:colOff>
      <xdr:row>13</xdr:row>
      <xdr:rowOff>161192</xdr:rowOff>
    </xdr:from>
    <xdr:to>
      <xdr:col>10</xdr:col>
      <xdr:colOff>575017</xdr:colOff>
      <xdr:row>17</xdr:row>
      <xdr:rowOff>3757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14</xdr:col>
      <xdr:colOff>58616</xdr:colOff>
      <xdr:row>14</xdr:row>
      <xdr:rowOff>21981</xdr:rowOff>
    </xdr:from>
    <xdr:to>
      <xdr:col>15</xdr:col>
      <xdr:colOff>491128</xdr:colOff>
      <xdr:row>17</xdr:row>
      <xdr:rowOff>26670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695325</xdr:colOff>
      <xdr:row>1</xdr:row>
      <xdr:rowOff>0</xdr:rowOff>
    </xdr:from>
    <xdr:to>
      <xdr:col>2</xdr:col>
      <xdr:colOff>529591</xdr:colOff>
      <xdr:row>4</xdr:row>
      <xdr:rowOff>34752</xdr:rowOff>
    </xdr:to>
    <xdr:pic>
      <xdr:nvPicPr>
        <xdr:cNvPr id="2" name="Imagen 1">
          <a:extLst>
            <a:ext uri="{FF2B5EF4-FFF2-40B4-BE49-F238E27FC236}">
              <a16:creationId xmlns:a16="http://schemas.microsoft.com/office/drawing/2014/main" id="{07420AB2-138B-4D58-8AF8-CC3CF40E1296}"/>
            </a:ext>
          </a:extLst>
        </xdr:cNvPr>
        <xdr:cNvPicPr>
          <a:picLocks noChangeAspect="1"/>
        </xdr:cNvPicPr>
      </xdr:nvPicPr>
      <xdr:blipFill>
        <a:blip xmlns:r="http://schemas.openxmlformats.org/officeDocument/2006/relationships" r:embed="rId1"/>
        <a:stretch>
          <a:fillRect/>
        </a:stretch>
      </xdr:blipFill>
      <xdr:spPr>
        <a:xfrm>
          <a:off x="695325" y="190500"/>
          <a:ext cx="914401" cy="592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499111</xdr:colOff>
      <xdr:row>4</xdr:row>
      <xdr:rowOff>4272</xdr:rowOff>
    </xdr:to>
    <xdr:pic>
      <xdr:nvPicPr>
        <xdr:cNvPr id="3" name="Imagen 2">
          <a:extLst>
            <a:ext uri="{FF2B5EF4-FFF2-40B4-BE49-F238E27FC236}">
              <a16:creationId xmlns:a16="http://schemas.microsoft.com/office/drawing/2014/main" id="{8C490228-C446-4C68-AE5D-A57B01DB32EE}"/>
            </a:ext>
          </a:extLst>
        </xdr:cNvPr>
        <xdr:cNvPicPr>
          <a:picLocks noChangeAspect="1"/>
        </xdr:cNvPicPr>
      </xdr:nvPicPr>
      <xdr:blipFill>
        <a:blip xmlns:r="http://schemas.openxmlformats.org/officeDocument/2006/relationships" r:embed="rId1"/>
        <a:stretch>
          <a:fillRect/>
        </a:stretch>
      </xdr:blipFill>
      <xdr:spPr>
        <a:xfrm>
          <a:off x="676275" y="190500"/>
          <a:ext cx="914401" cy="5929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685800</xdr:colOff>
      <xdr:row>1</xdr:row>
      <xdr:rowOff>0</xdr:rowOff>
    </xdr:from>
    <xdr:to>
      <xdr:col>2</xdr:col>
      <xdr:colOff>513523</xdr:colOff>
      <xdr:row>4</xdr:row>
      <xdr:rowOff>10650</xdr:rowOff>
    </xdr:to>
    <xdr:pic>
      <xdr:nvPicPr>
        <xdr:cNvPr id="3" name="Imagen 2">
          <a:extLst>
            <a:ext uri="{FF2B5EF4-FFF2-40B4-BE49-F238E27FC236}">
              <a16:creationId xmlns:a16="http://schemas.microsoft.com/office/drawing/2014/main" id="{F4DA0846-8BCA-43AD-BAEB-370B4727A113}"/>
            </a:ext>
          </a:extLst>
        </xdr:cNvPr>
        <xdr:cNvPicPr>
          <a:picLocks noChangeAspect="1"/>
        </xdr:cNvPicPr>
      </xdr:nvPicPr>
      <xdr:blipFill>
        <a:blip xmlns:r="http://schemas.openxmlformats.org/officeDocument/2006/relationships" r:embed="rId1"/>
        <a:stretch>
          <a:fillRect/>
        </a:stretch>
      </xdr:blipFill>
      <xdr:spPr>
        <a:xfrm>
          <a:off x="685800" y="190500"/>
          <a:ext cx="913573" cy="591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704021</xdr:colOff>
      <xdr:row>1</xdr:row>
      <xdr:rowOff>0</xdr:rowOff>
    </xdr:from>
    <xdr:to>
      <xdr:col>2</xdr:col>
      <xdr:colOff>532572</xdr:colOff>
      <xdr:row>4</xdr:row>
      <xdr:rowOff>4935</xdr:rowOff>
    </xdr:to>
    <xdr:pic>
      <xdr:nvPicPr>
        <xdr:cNvPr id="3" name="Imagen 2">
          <a:extLst>
            <a:ext uri="{FF2B5EF4-FFF2-40B4-BE49-F238E27FC236}">
              <a16:creationId xmlns:a16="http://schemas.microsoft.com/office/drawing/2014/main" id="{CC472BEA-C8FC-436D-9B02-F0396DFD083C}"/>
            </a:ext>
          </a:extLst>
        </xdr:cNvPr>
        <xdr:cNvPicPr>
          <a:picLocks noChangeAspect="1"/>
        </xdr:cNvPicPr>
      </xdr:nvPicPr>
      <xdr:blipFill>
        <a:blip xmlns:r="http://schemas.openxmlformats.org/officeDocument/2006/relationships" r:embed="rId1"/>
        <a:stretch>
          <a:fillRect/>
        </a:stretch>
      </xdr:blipFill>
      <xdr:spPr>
        <a:xfrm>
          <a:off x="704021" y="190500"/>
          <a:ext cx="913573" cy="591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647700</xdr:colOff>
      <xdr:row>1</xdr:row>
      <xdr:rowOff>0</xdr:rowOff>
    </xdr:from>
    <xdr:to>
      <xdr:col>2</xdr:col>
      <xdr:colOff>490663</xdr:colOff>
      <xdr:row>4</xdr:row>
      <xdr:rowOff>3030</xdr:rowOff>
    </xdr:to>
    <xdr:pic>
      <xdr:nvPicPr>
        <xdr:cNvPr id="3" name="Imagen 2">
          <a:extLst>
            <a:ext uri="{FF2B5EF4-FFF2-40B4-BE49-F238E27FC236}">
              <a16:creationId xmlns:a16="http://schemas.microsoft.com/office/drawing/2014/main" id="{3CED4992-C281-463D-887C-52054521DA7B}"/>
            </a:ext>
          </a:extLst>
        </xdr:cNvPr>
        <xdr:cNvPicPr>
          <a:picLocks noChangeAspect="1"/>
        </xdr:cNvPicPr>
      </xdr:nvPicPr>
      <xdr:blipFill>
        <a:blip xmlns:r="http://schemas.openxmlformats.org/officeDocument/2006/relationships" r:embed="rId1"/>
        <a:stretch>
          <a:fillRect/>
        </a:stretch>
      </xdr:blipFill>
      <xdr:spPr>
        <a:xfrm>
          <a:off x="647700" y="190500"/>
          <a:ext cx="913573" cy="591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638175</xdr:colOff>
      <xdr:row>1</xdr:row>
      <xdr:rowOff>0</xdr:rowOff>
    </xdr:from>
    <xdr:to>
      <xdr:col>2</xdr:col>
      <xdr:colOff>460183</xdr:colOff>
      <xdr:row>4</xdr:row>
      <xdr:rowOff>3030</xdr:rowOff>
    </xdr:to>
    <xdr:pic>
      <xdr:nvPicPr>
        <xdr:cNvPr id="3" name="Imagen 2">
          <a:extLst>
            <a:ext uri="{FF2B5EF4-FFF2-40B4-BE49-F238E27FC236}">
              <a16:creationId xmlns:a16="http://schemas.microsoft.com/office/drawing/2014/main" id="{4613FE4F-A66B-46B7-BC00-28EBF06277FE}"/>
            </a:ext>
          </a:extLst>
        </xdr:cNvPr>
        <xdr:cNvPicPr>
          <a:picLocks noChangeAspect="1"/>
        </xdr:cNvPicPr>
      </xdr:nvPicPr>
      <xdr:blipFill>
        <a:blip xmlns:r="http://schemas.openxmlformats.org/officeDocument/2006/relationships" r:embed="rId1"/>
        <a:stretch>
          <a:fillRect/>
        </a:stretch>
      </xdr:blipFill>
      <xdr:spPr>
        <a:xfrm>
          <a:off x="638175" y="190500"/>
          <a:ext cx="913573" cy="591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504826</xdr:colOff>
      <xdr:row>4</xdr:row>
      <xdr:rowOff>10650</xdr:rowOff>
    </xdr:to>
    <xdr:pic>
      <xdr:nvPicPr>
        <xdr:cNvPr id="3" name="Imagen 2">
          <a:extLst>
            <a:ext uri="{FF2B5EF4-FFF2-40B4-BE49-F238E27FC236}">
              <a16:creationId xmlns:a16="http://schemas.microsoft.com/office/drawing/2014/main" id="{792D4FA2-6A55-4E0E-A412-61655244B739}"/>
            </a:ext>
          </a:extLst>
        </xdr:cNvPr>
        <xdr:cNvPicPr>
          <a:picLocks noChangeAspect="1"/>
        </xdr:cNvPicPr>
      </xdr:nvPicPr>
      <xdr:blipFill>
        <a:blip xmlns:r="http://schemas.openxmlformats.org/officeDocument/2006/relationships" r:embed="rId1"/>
        <a:stretch>
          <a:fillRect/>
        </a:stretch>
      </xdr:blipFill>
      <xdr:spPr>
        <a:xfrm>
          <a:off x="676275" y="190500"/>
          <a:ext cx="914401" cy="591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498475</xdr:colOff>
      <xdr:row>0</xdr:row>
      <xdr:rowOff>98052</xdr:rowOff>
    </xdr:from>
    <xdr:to>
      <xdr:col>6</xdr:col>
      <xdr:colOff>1215574</xdr:colOff>
      <xdr:row>4</xdr:row>
      <xdr:rowOff>72389</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3950" y="98052"/>
          <a:ext cx="2422074" cy="1254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704850</xdr:colOff>
      <xdr:row>1</xdr:row>
      <xdr:rowOff>161925</xdr:rowOff>
    </xdr:from>
    <xdr:to>
      <xdr:col>1</xdr:col>
      <xdr:colOff>495301</xdr:colOff>
      <xdr:row>2</xdr:row>
      <xdr:rowOff>309072</xdr:rowOff>
    </xdr:to>
    <xdr:pic>
      <xdr:nvPicPr>
        <xdr:cNvPr id="5" name="Imagen 4">
          <a:extLst>
            <a:ext uri="{FF2B5EF4-FFF2-40B4-BE49-F238E27FC236}">
              <a16:creationId xmlns:a16="http://schemas.microsoft.com/office/drawing/2014/main" id="{2CC38A1D-A39D-4CC9-8CC6-566D0758C342}"/>
            </a:ext>
          </a:extLst>
        </xdr:cNvPr>
        <xdr:cNvPicPr>
          <a:picLocks noChangeAspect="1"/>
        </xdr:cNvPicPr>
      </xdr:nvPicPr>
      <xdr:blipFill>
        <a:blip xmlns:r="http://schemas.openxmlformats.org/officeDocument/2006/relationships" r:embed="rId2"/>
        <a:stretch>
          <a:fillRect/>
        </a:stretch>
      </xdr:blipFill>
      <xdr:spPr>
        <a:xfrm>
          <a:off x="704850" y="352425"/>
          <a:ext cx="914401" cy="592917"/>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kogui.defensajuridica.gov.co/Pages/NEW/docs/guia_control_interno_16012025.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docs/guia_control_interno_16012025.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docs/guia_control_interno_16012025.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ekogui.defensajuridica.gov.co/Pages/NEW/docs/guia_control_interno_16012025.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docs/guia_control_interno_16012025.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docs/guia_control_interno_16012025.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docs/guia_control_interno_16012025.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docs/guia_control_interno_160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509-78CA-40B0-B61A-BC35B8CFCBBE}">
  <dimension ref="B2:AI28"/>
  <sheetViews>
    <sheetView showRowColHeaders="0" topLeftCell="B1" zoomScaleNormal="100" workbookViewId="0">
      <selection activeCell="T24" sqref="T24:U24"/>
    </sheetView>
  </sheetViews>
  <sheetFormatPr baseColWidth="10" defaultColWidth="11.42578125" defaultRowHeight="15"/>
  <cols>
    <col min="1" max="1" width="0" style="2" hidden="1" customWidth="1"/>
    <col min="2" max="3" width="16.28515625" style="4" customWidth="1"/>
    <col min="4" max="26" width="9.140625" style="2" customWidth="1"/>
    <col min="27" max="16384" width="11.42578125" style="2"/>
  </cols>
  <sheetData>
    <row r="2" spans="2:35">
      <c r="B2" s="92"/>
      <c r="C2" s="92"/>
      <c r="E2" s="89" t="s">
        <v>0</v>
      </c>
      <c r="F2" s="89"/>
      <c r="G2" s="89"/>
      <c r="H2" s="89"/>
      <c r="I2" s="89"/>
      <c r="J2" s="89"/>
      <c r="K2" s="89"/>
      <c r="L2" s="89"/>
      <c r="M2" s="89"/>
      <c r="N2" s="89"/>
      <c r="O2" s="89"/>
      <c r="P2" s="89"/>
      <c r="Q2" s="89"/>
      <c r="R2" s="89"/>
      <c r="S2" s="89"/>
      <c r="T2" s="89"/>
      <c r="U2" s="89"/>
      <c r="V2" s="89"/>
    </row>
    <row r="3" spans="2:35" ht="15.75" thickBot="1">
      <c r="B3" s="92"/>
      <c r="C3" s="92"/>
      <c r="E3" s="90"/>
      <c r="F3" s="90"/>
      <c r="G3" s="90"/>
      <c r="H3" s="90"/>
      <c r="I3" s="90"/>
      <c r="J3" s="90"/>
      <c r="K3" s="90"/>
      <c r="L3" s="90"/>
      <c r="M3" s="90"/>
      <c r="N3" s="90"/>
      <c r="O3" s="90"/>
      <c r="P3" s="90"/>
      <c r="Q3" s="90"/>
      <c r="R3" s="90"/>
      <c r="S3" s="90"/>
      <c r="T3" s="90"/>
      <c r="U3" s="90"/>
      <c r="V3" s="90"/>
      <c r="AI3" s="2" t="s">
        <v>1</v>
      </c>
    </row>
    <row r="4" spans="2:35" ht="26.25">
      <c r="B4" s="92"/>
      <c r="C4" s="92"/>
      <c r="E4" s="68"/>
      <c r="F4" s="68"/>
      <c r="G4" s="68"/>
      <c r="H4" s="68"/>
      <c r="I4" s="68"/>
      <c r="J4" s="68"/>
      <c r="K4" s="68"/>
      <c r="L4" s="68"/>
      <c r="M4" s="68"/>
      <c r="N4" s="68"/>
      <c r="O4" s="68"/>
      <c r="P4" s="68"/>
      <c r="Q4" s="68"/>
      <c r="R4" s="68"/>
      <c r="S4" s="68"/>
      <c r="T4" s="68"/>
      <c r="U4" s="68"/>
      <c r="V4" s="68"/>
      <c r="AI4" s="2" t="s">
        <v>2</v>
      </c>
    </row>
    <row r="5" spans="2:35" ht="15" customHeight="1">
      <c r="F5" s="68"/>
      <c r="G5" s="68"/>
      <c r="H5" s="68"/>
      <c r="I5" s="68"/>
      <c r="J5" s="68"/>
      <c r="K5" s="68"/>
      <c r="L5" s="68"/>
      <c r="M5" s="68"/>
      <c r="N5" s="68"/>
      <c r="O5" s="68"/>
      <c r="P5" s="68"/>
      <c r="Q5" s="68"/>
      <c r="R5" s="68"/>
      <c r="S5" s="68"/>
      <c r="T5" s="68"/>
      <c r="U5" s="68"/>
      <c r="V5" s="68"/>
      <c r="AI5" s="2" t="s">
        <v>3</v>
      </c>
    </row>
    <row r="6" spans="2:35" ht="26.25">
      <c r="B6" s="93" t="s">
        <v>4</v>
      </c>
      <c r="C6" s="93"/>
      <c r="E6" s="69" t="s">
        <v>5</v>
      </c>
      <c r="F6" s="69"/>
      <c r="G6" s="69"/>
      <c r="H6" s="69"/>
      <c r="I6" s="94" t="s">
        <v>1</v>
      </c>
      <c r="J6" s="95"/>
      <c r="K6" s="68"/>
      <c r="L6" s="68"/>
      <c r="M6" s="68"/>
      <c r="N6" s="68"/>
      <c r="O6" s="68"/>
      <c r="P6" s="68"/>
      <c r="Q6" s="68"/>
      <c r="R6" s="68"/>
      <c r="S6" s="68"/>
      <c r="T6" s="68"/>
      <c r="U6" s="68"/>
      <c r="V6" s="68"/>
      <c r="AI6" s="2" t="s">
        <v>6</v>
      </c>
    </row>
    <row r="7" spans="2:35" ht="26.25">
      <c r="B7" s="3"/>
      <c r="C7" s="3"/>
      <c r="E7" s="68"/>
      <c r="F7" s="68"/>
      <c r="G7" s="68"/>
      <c r="H7" s="68"/>
      <c r="I7" s="68"/>
      <c r="J7" s="68"/>
      <c r="K7" s="68"/>
      <c r="L7" s="68"/>
      <c r="M7" s="68"/>
      <c r="N7" s="68"/>
      <c r="O7" s="68"/>
      <c r="P7" s="68"/>
      <c r="Q7" s="68"/>
      <c r="R7" s="68"/>
      <c r="S7" s="68"/>
      <c r="T7" s="68"/>
      <c r="U7" s="68"/>
      <c r="V7" s="68"/>
      <c r="AI7" s="2" t="s">
        <v>7</v>
      </c>
    </row>
    <row r="8" spans="2:35" ht="19.5">
      <c r="B8" s="93" t="s">
        <v>8</v>
      </c>
      <c r="C8" s="93"/>
    </row>
    <row r="9" spans="2:35">
      <c r="B9" s="3"/>
      <c r="C9" s="3"/>
      <c r="E9" s="91" t="s">
        <v>9</v>
      </c>
      <c r="F9" s="91"/>
      <c r="G9" s="91"/>
      <c r="H9" s="91"/>
      <c r="I9" s="91"/>
      <c r="J9" s="91"/>
      <c r="K9" s="91"/>
      <c r="L9" s="91"/>
      <c r="M9" s="91"/>
      <c r="N9" s="91"/>
      <c r="O9" s="91"/>
      <c r="P9" s="91"/>
      <c r="Q9" s="91"/>
      <c r="R9" s="91"/>
      <c r="S9" s="91"/>
      <c r="T9" s="91"/>
      <c r="U9" s="9"/>
      <c r="V9" s="9"/>
    </row>
    <row r="10" spans="2:35" ht="19.5">
      <c r="B10" s="93" t="s">
        <v>10</v>
      </c>
      <c r="C10" s="93"/>
      <c r="E10" s="91"/>
      <c r="F10" s="91"/>
      <c r="G10" s="91"/>
      <c r="H10" s="91"/>
      <c r="I10" s="91"/>
      <c r="J10" s="91"/>
      <c r="K10" s="91"/>
      <c r="L10" s="91"/>
      <c r="M10" s="91"/>
      <c r="N10" s="91"/>
      <c r="O10" s="91"/>
      <c r="P10" s="91"/>
      <c r="Q10" s="91"/>
      <c r="R10" s="91"/>
      <c r="S10" s="91"/>
      <c r="T10" s="91"/>
    </row>
    <row r="11" spans="2:35" ht="19.5">
      <c r="B11" s="93"/>
      <c r="C11" s="93"/>
      <c r="E11" s="91"/>
      <c r="F11" s="91"/>
      <c r="G11" s="91"/>
      <c r="H11" s="91"/>
      <c r="I11" s="91"/>
      <c r="J11" s="91"/>
      <c r="K11" s="91"/>
      <c r="L11" s="91"/>
      <c r="M11" s="91"/>
      <c r="N11" s="91"/>
      <c r="O11" s="91"/>
      <c r="P11" s="91"/>
      <c r="Q11" s="91"/>
      <c r="R11" s="91"/>
      <c r="S11" s="91"/>
      <c r="T11" s="91"/>
      <c r="U11" s="6"/>
      <c r="V11" s="6"/>
    </row>
    <row r="12" spans="2:35" ht="19.5">
      <c r="B12" s="93" t="s">
        <v>11</v>
      </c>
      <c r="C12" s="93"/>
      <c r="E12" s="6"/>
      <c r="F12" s="6"/>
      <c r="G12" s="6"/>
      <c r="H12" s="6"/>
      <c r="I12" s="6"/>
      <c r="J12" s="6"/>
      <c r="K12" s="6"/>
      <c r="L12" s="6"/>
      <c r="M12" s="6"/>
      <c r="N12" s="6"/>
      <c r="O12" s="6"/>
      <c r="P12" s="6"/>
      <c r="Q12" s="6"/>
      <c r="R12" s="6"/>
      <c r="S12" s="6"/>
      <c r="T12" s="6"/>
      <c r="U12" s="6"/>
      <c r="V12" s="6"/>
    </row>
    <row r="13" spans="2:35" ht="19.5">
      <c r="B13" s="93"/>
      <c r="C13" s="93"/>
      <c r="E13" s="6"/>
      <c r="F13" s="6"/>
      <c r="G13" s="6"/>
      <c r="H13" s="6"/>
      <c r="I13" s="6"/>
      <c r="J13" s="6"/>
      <c r="K13" s="6"/>
      <c r="L13" s="6"/>
      <c r="M13" s="6"/>
      <c r="N13" s="6"/>
      <c r="O13" s="6"/>
      <c r="P13" s="6"/>
      <c r="Q13" s="6"/>
      <c r="R13" s="6"/>
      <c r="S13" s="6"/>
      <c r="T13" s="6"/>
      <c r="U13" s="6"/>
      <c r="V13" s="6"/>
    </row>
    <row r="14" spans="2:35" ht="19.5">
      <c r="B14" s="93" t="s">
        <v>12</v>
      </c>
      <c r="C14" s="93"/>
      <c r="E14" s="48"/>
      <c r="F14" s="48"/>
      <c r="G14" s="86" t="s">
        <v>13</v>
      </c>
      <c r="H14" s="86"/>
      <c r="I14" s="6"/>
      <c r="J14" s="87"/>
      <c r="K14" s="87"/>
      <c r="L14" s="86" t="s">
        <v>14</v>
      </c>
      <c r="M14" s="86"/>
      <c r="N14" s="6"/>
      <c r="O14" s="87"/>
      <c r="P14" s="87"/>
      <c r="Q14" s="86" t="s">
        <v>15</v>
      </c>
      <c r="R14" s="86"/>
      <c r="S14" s="6"/>
      <c r="T14" s="86" t="s">
        <v>16</v>
      </c>
      <c r="U14" s="86"/>
      <c r="V14" s="86"/>
    </row>
    <row r="15" spans="2:35" ht="19.5">
      <c r="B15" s="93"/>
      <c r="C15" s="93"/>
      <c r="E15" s="48"/>
      <c r="F15" s="48"/>
      <c r="G15" s="86"/>
      <c r="H15" s="86"/>
      <c r="I15" s="6"/>
      <c r="J15" s="87"/>
      <c r="K15" s="87"/>
      <c r="L15" s="86"/>
      <c r="M15" s="86"/>
      <c r="N15" s="6"/>
      <c r="O15" s="87"/>
      <c r="P15" s="87"/>
      <c r="Q15" s="86"/>
      <c r="R15" s="86"/>
      <c r="S15" s="6"/>
      <c r="T15" s="86"/>
      <c r="U15" s="86"/>
      <c r="V15" s="86"/>
    </row>
    <row r="16" spans="2:35" ht="19.5">
      <c r="B16" s="93" t="s">
        <v>17</v>
      </c>
      <c r="C16" s="93"/>
      <c r="E16" s="48"/>
      <c r="F16" s="48"/>
      <c r="G16" s="86"/>
      <c r="H16" s="86"/>
      <c r="I16" s="6"/>
      <c r="J16" s="87"/>
      <c r="K16" s="87"/>
      <c r="L16" s="86"/>
      <c r="M16" s="86"/>
      <c r="N16" s="6"/>
      <c r="O16" s="87"/>
      <c r="P16" s="87"/>
      <c r="Q16" s="86"/>
      <c r="R16" s="86"/>
      <c r="S16" s="6"/>
      <c r="T16" s="86"/>
      <c r="U16" s="86"/>
      <c r="V16" s="86"/>
    </row>
    <row r="17" spans="2:22" ht="19.5">
      <c r="B17" s="93"/>
      <c r="C17" s="93"/>
      <c r="E17" s="48"/>
      <c r="F17" s="48"/>
      <c r="G17" s="86"/>
      <c r="H17" s="86"/>
      <c r="I17" s="6"/>
      <c r="J17" s="87"/>
      <c r="K17" s="87"/>
      <c r="L17" s="86"/>
      <c r="M17" s="86"/>
      <c r="N17" s="6"/>
      <c r="O17" s="87"/>
      <c r="P17" s="87"/>
      <c r="Q17" s="86"/>
      <c r="R17" s="86"/>
      <c r="S17" s="6"/>
      <c r="T17" s="86"/>
      <c r="U17" s="86"/>
      <c r="V17" s="86"/>
    </row>
    <row r="18" spans="2:22" ht="19.5">
      <c r="B18" s="93" t="s">
        <v>18</v>
      </c>
      <c r="C18" s="93"/>
      <c r="E18" s="48"/>
      <c r="F18" s="48"/>
      <c r="G18" s="86"/>
      <c r="H18" s="86"/>
      <c r="I18" s="6"/>
      <c r="J18" s="87"/>
      <c r="K18" s="87"/>
      <c r="L18" s="86"/>
      <c r="M18" s="86"/>
      <c r="N18" s="6"/>
      <c r="O18" s="87"/>
      <c r="P18" s="87"/>
      <c r="Q18" s="86"/>
      <c r="R18" s="86"/>
      <c r="S18" s="6"/>
      <c r="T18" s="86"/>
      <c r="U18" s="86"/>
      <c r="V18" s="86"/>
    </row>
    <row r="19" spans="2:22" ht="19.5">
      <c r="B19" s="93"/>
      <c r="C19" s="93"/>
      <c r="E19" s="48"/>
      <c r="F19" s="48"/>
      <c r="G19" s="86"/>
      <c r="H19" s="86"/>
      <c r="I19" s="6"/>
      <c r="J19" s="87"/>
      <c r="K19" s="87"/>
      <c r="L19" s="86"/>
      <c r="M19" s="86"/>
      <c r="N19" s="6"/>
      <c r="O19" s="87"/>
      <c r="P19" s="87"/>
      <c r="Q19" s="86"/>
      <c r="R19" s="86"/>
      <c r="S19" s="6"/>
      <c r="T19" s="86"/>
      <c r="U19" s="86"/>
      <c r="V19" s="86"/>
    </row>
    <row r="20" spans="2:22" ht="19.5">
      <c r="B20" s="93" t="s">
        <v>19</v>
      </c>
      <c r="C20" s="93"/>
      <c r="E20" s="6"/>
      <c r="F20" s="6"/>
      <c r="G20" s="6"/>
      <c r="H20" s="6"/>
      <c r="I20" s="21"/>
      <c r="J20" s="6"/>
      <c r="K20" s="6"/>
      <c r="L20" s="6"/>
      <c r="M20" s="6"/>
      <c r="N20" s="6"/>
      <c r="O20" s="6"/>
      <c r="P20" s="6"/>
      <c r="Q20" s="6"/>
      <c r="R20" s="6"/>
      <c r="S20" s="6"/>
      <c r="T20" s="6"/>
      <c r="U20" s="6"/>
      <c r="V20" s="6"/>
    </row>
    <row r="21" spans="2:22" ht="19.5">
      <c r="B21" s="93"/>
      <c r="C21" s="93"/>
      <c r="E21" s="6"/>
      <c r="F21" s="6"/>
      <c r="G21" s="6"/>
      <c r="H21" s="6"/>
      <c r="I21" s="6"/>
      <c r="J21" s="6"/>
      <c r="K21" s="6"/>
      <c r="L21" s="6"/>
      <c r="M21" s="6"/>
      <c r="N21" s="6"/>
      <c r="O21" s="6"/>
      <c r="P21" s="6"/>
      <c r="Q21" s="6"/>
      <c r="R21" s="6"/>
      <c r="S21" s="6"/>
      <c r="T21" s="6"/>
      <c r="U21" s="6"/>
      <c r="V21" s="6"/>
    </row>
    <row r="22" spans="2:22">
      <c r="E22" s="6"/>
      <c r="F22" s="6"/>
      <c r="G22" s="6"/>
      <c r="H22" s="6"/>
      <c r="I22" s="6"/>
      <c r="J22" s="6"/>
      <c r="K22" s="6"/>
      <c r="L22" s="6"/>
      <c r="M22" s="6"/>
      <c r="N22" s="6"/>
      <c r="O22" s="6"/>
      <c r="P22" s="6"/>
      <c r="Q22" s="6"/>
      <c r="R22" s="6"/>
      <c r="S22" s="6"/>
      <c r="T22" s="6"/>
      <c r="U22" s="6"/>
      <c r="V22" s="6"/>
    </row>
    <row r="23" spans="2:22">
      <c r="E23" s="88" t="s">
        <v>20</v>
      </c>
      <c r="F23" s="88"/>
      <c r="G23" s="88"/>
      <c r="H23" s="88"/>
      <c r="I23" s="88"/>
      <c r="J23" s="88"/>
      <c r="K23" s="88"/>
      <c r="L23" s="88"/>
      <c r="M23" s="88"/>
      <c r="N23" s="88"/>
      <c r="O23" s="88"/>
      <c r="P23" s="88"/>
      <c r="Q23" s="88"/>
      <c r="R23" s="88"/>
      <c r="S23" s="88"/>
      <c r="T23" s="47"/>
      <c r="U23" s="47"/>
      <c r="V23" s="47"/>
    </row>
    <row r="24" spans="2:22" ht="15.75">
      <c r="E24" s="88"/>
      <c r="F24" s="88"/>
      <c r="G24" s="88"/>
      <c r="H24" s="88"/>
      <c r="I24" s="88"/>
      <c r="J24" s="88"/>
      <c r="K24" s="88"/>
      <c r="L24" s="88"/>
      <c r="M24" s="88"/>
      <c r="N24" s="88"/>
      <c r="O24" s="88"/>
      <c r="P24" s="88"/>
      <c r="Q24" s="88"/>
      <c r="R24" s="88"/>
      <c r="S24" s="88"/>
      <c r="T24" s="85" t="s">
        <v>21</v>
      </c>
      <c r="U24" s="85"/>
      <c r="V24" s="47"/>
    </row>
    <row r="25" spans="2:22">
      <c r="E25" s="88"/>
      <c r="F25" s="88"/>
      <c r="G25" s="88"/>
      <c r="H25" s="88"/>
      <c r="I25" s="88"/>
      <c r="J25" s="88"/>
      <c r="K25" s="88"/>
      <c r="L25" s="88"/>
      <c r="M25" s="88"/>
      <c r="N25" s="88"/>
      <c r="O25" s="88"/>
      <c r="P25" s="88"/>
      <c r="Q25" s="88"/>
      <c r="R25" s="88"/>
      <c r="S25" s="88"/>
      <c r="T25" s="47"/>
      <c r="U25" s="47"/>
      <c r="V25" s="47"/>
    </row>
    <row r="26" spans="2:22">
      <c r="E26" s="6"/>
      <c r="F26" s="6"/>
      <c r="G26" s="6"/>
      <c r="H26" s="6"/>
      <c r="I26" s="6"/>
      <c r="J26" s="6"/>
      <c r="K26" s="6"/>
      <c r="L26" s="6"/>
      <c r="M26" s="6"/>
      <c r="N26" s="6"/>
      <c r="O26" s="6"/>
      <c r="P26" s="6"/>
      <c r="Q26" s="6"/>
      <c r="R26" s="6"/>
      <c r="S26" s="6"/>
      <c r="T26" s="6"/>
      <c r="U26" s="6"/>
      <c r="V26" s="6"/>
    </row>
    <row r="27" spans="2:22">
      <c r="E27" s="6"/>
      <c r="F27" s="6"/>
      <c r="G27" s="6"/>
      <c r="H27" s="6"/>
      <c r="I27" s="6"/>
      <c r="J27" s="6"/>
      <c r="K27" s="6"/>
      <c r="L27" s="6"/>
      <c r="M27" s="21"/>
      <c r="N27" s="6"/>
      <c r="O27" s="6"/>
      <c r="P27" s="6"/>
      <c r="Q27" s="6"/>
      <c r="R27" s="6"/>
      <c r="S27" s="6"/>
      <c r="T27" s="6"/>
      <c r="U27" s="6"/>
      <c r="V27" s="6"/>
    </row>
    <row r="28" spans="2:22">
      <c r="E28" s="6"/>
      <c r="F28" s="6"/>
      <c r="G28" s="6"/>
      <c r="H28" s="6"/>
      <c r="I28" s="6"/>
      <c r="J28" s="6"/>
      <c r="K28" s="6"/>
      <c r="L28" s="6"/>
      <c r="M28" s="6"/>
      <c r="N28" s="6"/>
      <c r="O28" s="6"/>
      <c r="P28" s="6"/>
      <c r="Q28" s="6"/>
      <c r="R28" s="6"/>
      <c r="S28" s="6"/>
      <c r="T28" s="6"/>
      <c r="U28" s="6"/>
      <c r="V28" s="6"/>
    </row>
  </sheetData>
  <sheetProtection algorithmName="SHA-512" hashValue="4ntlPkatnZL2PSBLRTyVQCOA+2RHFRmc5TkB+MwM2iTcGvkY8Iu60r8r47dRrXGEfyHfN+AOpnjyMvDpEwE8Og==" saltValue="N8dhnktUYfcrF9xqPzUNYQ==" spinCount="100000" sheet="1"/>
  <mergeCells count="26">
    <mergeCell ref="B21:C21"/>
    <mergeCell ref="B16:C16"/>
    <mergeCell ref="B18:C18"/>
    <mergeCell ref="B20:C20"/>
    <mergeCell ref="B10:C10"/>
    <mergeCell ref="B12:C12"/>
    <mergeCell ref="B14:C14"/>
    <mergeCell ref="B13:C13"/>
    <mergeCell ref="B15:C15"/>
    <mergeCell ref="B17:C17"/>
    <mergeCell ref="B19:C19"/>
    <mergeCell ref="E2:V3"/>
    <mergeCell ref="E9:T11"/>
    <mergeCell ref="B2:C4"/>
    <mergeCell ref="B6:C6"/>
    <mergeCell ref="B8:C8"/>
    <mergeCell ref="I6:J6"/>
    <mergeCell ref="B11:C11"/>
    <mergeCell ref="T24:U24"/>
    <mergeCell ref="T14:V19"/>
    <mergeCell ref="G14:H19"/>
    <mergeCell ref="L14:M19"/>
    <mergeCell ref="J14:K19"/>
    <mergeCell ref="O14:P19"/>
    <mergeCell ref="Q14:R19"/>
    <mergeCell ref="E23:S25"/>
  </mergeCells>
  <phoneticPr fontId="40" type="noConversion"/>
  <dataValidations count="1">
    <dataValidation type="list" allowBlank="1" showInputMessage="1" showErrorMessage="1" sqref="I6" xr:uid="{65384548-01AA-4584-B215-8418DBD53952}">
      <formula1>$AI$3:$AI$7</formula1>
    </dataValidation>
  </dataValidations>
  <hyperlinks>
    <hyperlink ref="B10:C10" location="Abogados!A1" display="Abogados" xr:uid="{7ED8A171-E1F8-4703-8246-1C63F80C6FA9}"/>
    <hyperlink ref="B12:C12" location="Judiciales!A1" display="Judiciales" xr:uid="{FEBDCEEC-C497-44EC-9062-CB1642973E64}"/>
    <hyperlink ref="B18:C18" location="Pagos!A1" display="Pagos" xr:uid="{21296112-339B-4A5B-92E1-F5F6F6405CA3}"/>
    <hyperlink ref="B8:C8" location="Usuarios!A1" display="Usuarios" xr:uid="{B323F875-6EF4-4C0E-ACCC-88FCDEE6009D}"/>
    <hyperlink ref="B16:C16" location="'Comité de conciliación'!A1" display="Comité de conciliación" xr:uid="{C4C35395-7A7A-481F-8B71-FDF0E70B78EE}"/>
    <hyperlink ref="B20:C20" location="Resumen!A1" display="Resumen general" xr:uid="{B81DF41A-F51D-4CC0-B596-F71F82FD9D40}"/>
    <hyperlink ref="B14:C14" location="Arbitramentos!A1" display="Arbitramentos" xr:uid="{14FFEDBC-EBDE-4023-9473-B8F4A1ECEEDF}"/>
    <hyperlink ref="B6:C6" location="Portada!A1" display="Portada" xr:uid="{B397D501-CBC0-444A-A57F-8B0E49040103}"/>
    <hyperlink ref="T24:U24" r:id="rId1" display="Acceder al manual" xr:uid="{5C2B0C75-CB68-401B-AC5F-52870A0A732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4A8D-D6D7-40E5-AB51-9874D02E87E6}">
  <sheetPr>
    <pageSetUpPr fitToPage="1"/>
  </sheetPr>
  <dimension ref="A1:W54"/>
  <sheetViews>
    <sheetView tabSelected="1" zoomScaleNormal="100" workbookViewId="0">
      <selection activeCell="J28" sqref="J28"/>
    </sheetView>
  </sheetViews>
  <sheetFormatPr baseColWidth="10" defaultColWidth="11.42578125" defaultRowHeight="15"/>
  <cols>
    <col min="1" max="2" width="16.85546875" style="23" customWidth="1"/>
    <col min="3" max="3" width="11.42578125" style="23"/>
    <col min="4" max="4" width="40.42578125" style="23" customWidth="1"/>
    <col min="5" max="5" width="14.42578125" style="23" bestFit="1" customWidth="1"/>
    <col min="6" max="6" width="11.42578125" style="23"/>
    <col min="7" max="7" width="29" style="23" customWidth="1"/>
    <col min="8" max="8" width="18.42578125" style="23" customWidth="1"/>
    <col min="9" max="11" width="11.42578125" style="23"/>
    <col min="12" max="14" width="9.140625" style="23" customWidth="1"/>
    <col min="15" max="21" width="11.42578125" style="23"/>
    <col min="22" max="23" width="0" style="23" hidden="1" customWidth="1"/>
    <col min="24" max="16384" width="11.42578125" style="23"/>
  </cols>
  <sheetData>
    <row r="1" spans="1:23">
      <c r="G1" s="52"/>
    </row>
    <row r="2" spans="1:23" ht="34.5" customHeight="1">
      <c r="C2" s="22"/>
      <c r="D2" s="22"/>
      <c r="E2" s="22"/>
      <c r="F2" s="22"/>
      <c r="G2" s="22"/>
      <c r="H2" s="22"/>
      <c r="I2" s="22"/>
      <c r="J2" s="22"/>
    </row>
    <row r="3" spans="1:23" ht="38.1" customHeight="1">
      <c r="C3" s="22"/>
      <c r="D3" s="22"/>
      <c r="E3" s="22"/>
      <c r="F3"/>
      <c r="G3" s="22"/>
      <c r="H3" s="22"/>
      <c r="I3" s="22"/>
      <c r="J3" s="22"/>
      <c r="L3" s="44"/>
      <c r="M3" s="44"/>
      <c r="N3" s="44"/>
    </row>
    <row r="4" spans="1:23">
      <c r="C4" s="22"/>
      <c r="D4" s="22"/>
      <c r="E4" s="22"/>
      <c r="F4" s="22"/>
      <c r="G4" s="22"/>
      <c r="H4" s="22"/>
      <c r="I4" s="22"/>
      <c r="J4" s="22"/>
      <c r="L4" s="192" t="s">
        <v>183</v>
      </c>
      <c r="M4" s="192"/>
      <c r="N4" s="192"/>
    </row>
    <row r="5" spans="1:23" ht="27.75">
      <c r="A5" s="4"/>
      <c r="B5" s="4"/>
      <c r="C5" s="22"/>
      <c r="D5" s="257" t="s">
        <v>184</v>
      </c>
      <c r="E5" s="257"/>
      <c r="F5" s="257"/>
      <c r="G5" s="257"/>
      <c r="H5" s="257"/>
      <c r="I5" s="257"/>
      <c r="J5" s="24"/>
      <c r="K5" s="25"/>
      <c r="L5" s="192"/>
      <c r="M5" s="192"/>
      <c r="N5" s="192"/>
      <c r="O5" s="25"/>
    </row>
    <row r="6" spans="1:23" ht="27.75">
      <c r="A6" s="93" t="s">
        <v>4</v>
      </c>
      <c r="B6" s="93"/>
      <c r="C6" s="22"/>
      <c r="D6" s="257" t="str">
        <f>"Plantilla de Certificado de Control Interno semestre "&amp;Portada!I6</f>
        <v>Plantilla de Certificado de Control Interno semestre II - 2024</v>
      </c>
      <c r="E6" s="257"/>
      <c r="F6" s="257"/>
      <c r="G6" s="257"/>
      <c r="H6" s="257"/>
      <c r="I6" s="257"/>
      <c r="J6" s="24"/>
      <c r="K6" s="25"/>
      <c r="L6" s="192"/>
      <c r="M6" s="192"/>
      <c r="N6" s="192"/>
      <c r="O6" s="25"/>
    </row>
    <row r="7" spans="1:23" ht="19.5" customHeight="1">
      <c r="A7" s="3"/>
      <c r="B7" s="3"/>
      <c r="C7" s="22"/>
      <c r="D7" s="22"/>
      <c r="E7" s="22"/>
      <c r="F7" s="22"/>
      <c r="G7" s="22"/>
      <c r="H7" s="22"/>
      <c r="I7" s="22"/>
      <c r="J7" s="24"/>
      <c r="K7" s="25"/>
      <c r="L7" s="192"/>
      <c r="M7" s="192"/>
      <c r="N7" s="192"/>
      <c r="O7" s="25"/>
    </row>
    <row r="8" spans="1:23" ht="19.5" customHeight="1">
      <c r="A8" s="93" t="s">
        <v>8</v>
      </c>
      <c r="B8" s="93"/>
      <c r="C8" s="22"/>
      <c r="D8" s="22"/>
      <c r="E8" s="22"/>
      <c r="F8" s="22"/>
      <c r="G8" s="22"/>
      <c r="H8" s="22"/>
      <c r="I8" s="22"/>
      <c r="J8" s="71">
        <f>+VLOOKUP(E9,Administrador!$I$2:$J$338,2,0)</f>
        <v>0</v>
      </c>
      <c r="K8" s="26"/>
      <c r="L8" s="192"/>
      <c r="M8" s="192"/>
      <c r="N8" s="192"/>
      <c r="O8" s="26"/>
    </row>
    <row r="9" spans="1:23" ht="19.5" customHeight="1">
      <c r="A9" s="3"/>
      <c r="B9" s="3"/>
      <c r="C9" s="22"/>
      <c r="D9" s="72" t="s">
        <v>185</v>
      </c>
      <c r="E9" s="255" t="s">
        <v>411</v>
      </c>
      <c r="F9" s="255"/>
      <c r="G9" s="255"/>
      <c r="H9" s="255"/>
      <c r="I9" s="255"/>
      <c r="J9" s="71">
        <f>+VLOOKUP(E9,Administrador!$I$2:$J$338,2,0)</f>
        <v>0</v>
      </c>
      <c r="K9" s="26"/>
      <c r="L9" s="192"/>
      <c r="M9" s="192"/>
      <c r="N9" s="192"/>
      <c r="O9" s="26"/>
    </row>
    <row r="10" spans="1:23" ht="17.25" customHeight="1">
      <c r="A10" s="93" t="s">
        <v>10</v>
      </c>
      <c r="B10" s="93"/>
      <c r="C10" s="22"/>
      <c r="D10" s="73" t="str">
        <f>IFERROR(IF(J9=1,"Digite el nombre de la entidad",IF(J9=2,"Digite el nombre de la Seccional","")),"")</f>
        <v/>
      </c>
      <c r="E10" s="258"/>
      <c r="F10" s="258"/>
      <c r="G10" s="258"/>
      <c r="H10" s="258"/>
      <c r="I10" s="258"/>
      <c r="J10" s="22"/>
      <c r="L10" s="256" t="s">
        <v>21</v>
      </c>
      <c r="M10" s="256"/>
      <c r="N10" s="256"/>
    </row>
    <row r="11" spans="1:23" ht="18.75" customHeight="1">
      <c r="A11" s="93"/>
      <c r="B11" s="93"/>
      <c r="C11" s="22"/>
      <c r="D11" s="22"/>
      <c r="E11" s="22"/>
      <c r="F11" s="22"/>
      <c r="G11" s="22"/>
      <c r="H11" s="22"/>
      <c r="I11" s="22"/>
      <c r="J11" s="22"/>
      <c r="L11" s="45"/>
      <c r="M11" s="45"/>
      <c r="N11" s="45"/>
    </row>
    <row r="12" spans="1:23" ht="19.5">
      <c r="A12" s="93" t="s">
        <v>11</v>
      </c>
      <c r="B12" s="93"/>
      <c r="C12" s="22"/>
      <c r="D12" s="72" t="s">
        <v>186</v>
      </c>
      <c r="E12" s="255" t="s">
        <v>39</v>
      </c>
      <c r="F12" s="255"/>
      <c r="G12" s="255"/>
      <c r="H12" s="255"/>
      <c r="I12" s="255"/>
      <c r="J12" s="31"/>
      <c r="L12" s="45"/>
      <c r="M12" s="45"/>
      <c r="N12" s="45"/>
      <c r="W12" s="23" t="s">
        <v>31</v>
      </c>
    </row>
    <row r="13" spans="1:23" ht="19.5">
      <c r="A13" s="93"/>
      <c r="B13" s="93"/>
      <c r="C13" s="22"/>
      <c r="D13" s="22"/>
      <c r="E13" s="22"/>
      <c r="F13" s="22"/>
      <c r="G13" s="22"/>
      <c r="H13" s="22"/>
      <c r="I13" s="38"/>
      <c r="J13" s="22"/>
      <c r="L13" s="46"/>
      <c r="M13" s="46"/>
      <c r="N13" s="46"/>
      <c r="W13" s="23" t="s">
        <v>187</v>
      </c>
    </row>
    <row r="14" spans="1:23" ht="19.5">
      <c r="A14" s="93" t="s">
        <v>12</v>
      </c>
      <c r="B14" s="93"/>
      <c r="C14" s="22"/>
      <c r="D14" s="27" t="s">
        <v>188</v>
      </c>
      <c r="E14" s="28" t="s">
        <v>189</v>
      </c>
      <c r="F14" s="22"/>
      <c r="G14" s="27" t="s">
        <v>190</v>
      </c>
      <c r="H14" s="247" t="s">
        <v>191</v>
      </c>
      <c r="I14" s="247"/>
      <c r="J14" s="22"/>
      <c r="W14" s="23" t="s">
        <v>192</v>
      </c>
    </row>
    <row r="15" spans="1:23" ht="17.25" customHeight="1">
      <c r="A15" s="93"/>
      <c r="B15" s="93"/>
      <c r="C15" s="22"/>
      <c r="D15" s="35" t="s">
        <v>193</v>
      </c>
      <c r="E15" s="49">
        <f>(COUNTIF(Usuarios!H12:I23,"Si")+Abogados!H9)/(COUNTIF(Usuarios!H12:I23,"Si")+Abogados!H9+COUNTIF(Usuarios!H12:I23,"No"))</f>
        <v>1</v>
      </c>
      <c r="F15" s="22"/>
      <c r="G15" s="29" t="s">
        <v>194</v>
      </c>
      <c r="H15" s="253" t="str">
        <f>+'Comité de conciliación'!N8</f>
        <v>Si</v>
      </c>
      <c r="I15" s="253"/>
      <c r="J15" s="22"/>
    </row>
    <row r="16" spans="1:23" ht="17.25" customHeight="1">
      <c r="A16" s="93" t="s">
        <v>17</v>
      </c>
      <c r="B16" s="93"/>
      <c r="C16" s="22"/>
      <c r="D16" s="36" t="s">
        <v>195</v>
      </c>
      <c r="E16" s="80">
        <f>+COUNTIF(Usuarios!H12:I23,"Si")+Abogados!H9</f>
        <v>157</v>
      </c>
      <c r="F16" s="22"/>
      <c r="G16" s="31" t="s">
        <v>196</v>
      </c>
      <c r="H16" s="251" t="str">
        <f>+'Comité de conciliación'!N10</f>
        <v>Si</v>
      </c>
      <c r="I16" s="251"/>
      <c r="J16" s="22"/>
    </row>
    <row r="17" spans="1:10" ht="19.5">
      <c r="A17" s="93"/>
      <c r="B17" s="93"/>
      <c r="C17" s="22"/>
      <c r="D17" s="35" t="s">
        <v>197</v>
      </c>
      <c r="E17" s="84">
        <f>+(Abogados!I19+Abogados!I21)/(Abogados!I15*2)</f>
        <v>0.8741721854304636</v>
      </c>
      <c r="F17" s="22"/>
      <c r="G17" s="35" t="s">
        <v>198</v>
      </c>
      <c r="H17" s="259">
        <f>+'Comité de conciliación'!J20+'Comité de conciliación'!J21+'Comité de conciliación'!J22</f>
        <v>2105</v>
      </c>
      <c r="I17" s="259"/>
      <c r="J17" s="22"/>
    </row>
    <row r="18" spans="1:10" ht="19.5">
      <c r="A18" s="93" t="s">
        <v>18</v>
      </c>
      <c r="B18" s="93"/>
      <c r="C18" s="22"/>
      <c r="D18" s="36" t="s">
        <v>199</v>
      </c>
      <c r="E18" s="37">
        <f>+(Usuarios!T13+Usuarios!T15+Usuarios!T17+Usuarios!T19+Usuarios!T21+Usuarios!T23+Abogados!S20+Abogados!S22+Abogados!S24+Abogados!S26)/(E16*2)</f>
        <v>0.7133757961783439</v>
      </c>
      <c r="F18" s="22"/>
      <c r="G18" s="22"/>
      <c r="H18" s="22"/>
      <c r="I18" s="22"/>
      <c r="J18" s="22"/>
    </row>
    <row r="19" spans="1:10" ht="19.5">
      <c r="A19" s="93"/>
      <c r="B19" s="93"/>
      <c r="C19" s="22"/>
      <c r="D19" s="22"/>
      <c r="E19" s="22"/>
      <c r="F19" s="22"/>
      <c r="G19" s="27" t="s">
        <v>200</v>
      </c>
      <c r="H19" s="247" t="s">
        <v>191</v>
      </c>
      <c r="I19" s="247"/>
      <c r="J19" s="22"/>
    </row>
    <row r="20" spans="1:10" ht="19.5">
      <c r="A20" s="93" t="s">
        <v>19</v>
      </c>
      <c r="B20" s="93"/>
      <c r="C20" s="22"/>
      <c r="D20" s="27" t="s">
        <v>201</v>
      </c>
      <c r="E20" s="27" t="s">
        <v>191</v>
      </c>
      <c r="F20" s="22"/>
      <c r="G20" s="29" t="s">
        <v>202</v>
      </c>
      <c r="H20" s="253">
        <f>+Arbitramentos!L11</f>
        <v>0</v>
      </c>
      <c r="I20" s="253"/>
      <c r="J20" s="22"/>
    </row>
    <row r="21" spans="1:10" ht="19.5">
      <c r="A21" s="93"/>
      <c r="B21" s="93"/>
      <c r="C21" s="22"/>
      <c r="D21" s="29" t="s">
        <v>203</v>
      </c>
      <c r="E21" s="33">
        <f>+Judiciales!L13</f>
        <v>3075</v>
      </c>
      <c r="F21" s="22"/>
      <c r="G21" s="31" t="s">
        <v>204</v>
      </c>
      <c r="H21" s="254" t="str">
        <f>IFERROR(Arbitramentos!L12/Arbitramentos!L10,"")</f>
        <v/>
      </c>
      <c r="I21" s="254"/>
      <c r="J21" s="22"/>
    </row>
    <row r="22" spans="1:10">
      <c r="C22" s="22"/>
      <c r="D22" s="31" t="s">
        <v>204</v>
      </c>
      <c r="E22" s="34">
        <f>+Judiciales!L13/Judiciales!L11</f>
        <v>1.0006508298080052</v>
      </c>
      <c r="F22" s="22"/>
      <c r="G22" s="22"/>
      <c r="H22" s="22"/>
      <c r="I22" s="22"/>
      <c r="J22" s="22"/>
    </row>
    <row r="23" spans="1:10">
      <c r="C23" s="22"/>
      <c r="D23" s="29" t="s">
        <v>205</v>
      </c>
      <c r="E23" s="30">
        <f>+Judiciales!U14/Judiciales!U16</f>
        <v>1</v>
      </c>
      <c r="F23" s="22"/>
      <c r="G23" s="27" t="s">
        <v>206</v>
      </c>
      <c r="H23" s="247" t="s">
        <v>191</v>
      </c>
      <c r="I23" s="247"/>
      <c r="J23" s="22"/>
    </row>
    <row r="24" spans="1:10">
      <c r="C24" s="22"/>
      <c r="D24" s="31" t="s">
        <v>207</v>
      </c>
      <c r="E24" s="32">
        <f>+Judiciales!L13/Abogados!H9</f>
        <v>20.364238410596027</v>
      </c>
      <c r="F24" s="22"/>
      <c r="G24" s="29" t="s">
        <v>208</v>
      </c>
      <c r="H24" s="253" t="str">
        <f>IF(Pagos!E11&gt;0,"Si","No")</f>
        <v>Si</v>
      </c>
      <c r="I24" s="253"/>
      <c r="J24" s="22"/>
    </row>
    <row r="25" spans="1:10">
      <c r="C25" s="22"/>
      <c r="D25" s="29" t="s">
        <v>209</v>
      </c>
      <c r="E25" s="30">
        <f>+(Judiciales!V41+Judiciales!V39+Judiciales!V37)/(Judiciales!S40+Judiciales!S38+Judiciales!S36+Judiciales!S34)</f>
        <v>4.0112314480545525E-4</v>
      </c>
      <c r="F25" s="22"/>
      <c r="G25" s="31" t="s">
        <v>210</v>
      </c>
      <c r="H25" s="251" t="str">
        <f>+Pagos!M6</f>
        <v>SÍ</v>
      </c>
      <c r="I25" s="251"/>
      <c r="J25" s="22"/>
    </row>
    <row r="26" spans="1:10">
      <c r="C26" s="22"/>
      <c r="D26" s="22"/>
      <c r="E26" s="22"/>
      <c r="F26" s="22"/>
      <c r="G26" s="31"/>
      <c r="H26" s="32"/>
      <c r="I26" s="22"/>
      <c r="J26" s="22"/>
    </row>
    <row r="27" spans="1:10">
      <c r="C27" s="22"/>
      <c r="D27" s="22"/>
      <c r="E27" s="22"/>
      <c r="F27" s="22"/>
      <c r="G27" s="22"/>
      <c r="H27" s="22"/>
      <c r="I27" s="22"/>
      <c r="J27" s="22"/>
    </row>
    <row r="28" spans="1:10">
      <c r="C28" s="22"/>
      <c r="D28" s="22"/>
      <c r="E28" s="22"/>
      <c r="F28" s="22"/>
      <c r="G28" s="22"/>
      <c r="H28" s="22"/>
      <c r="I28" s="22"/>
      <c r="J28" s="22"/>
    </row>
    <row r="29" spans="1:10">
      <c r="C29" s="22"/>
      <c r="D29" s="22"/>
      <c r="E29" s="22"/>
      <c r="F29" s="22"/>
      <c r="G29" s="22"/>
      <c r="H29" s="22"/>
      <c r="I29" s="22"/>
      <c r="J29" s="22"/>
    </row>
    <row r="30" spans="1:10">
      <c r="C30" s="22"/>
      <c r="D30" s="22"/>
      <c r="E30" s="22"/>
      <c r="F30" s="22"/>
      <c r="G30" s="22"/>
      <c r="H30" s="22"/>
      <c r="I30" s="22"/>
      <c r="J30" s="22"/>
    </row>
    <row r="31" spans="1:10">
      <c r="C31" s="22"/>
      <c r="D31" s="27" t="s">
        <v>211</v>
      </c>
      <c r="E31" s="22"/>
      <c r="F31" s="22"/>
      <c r="G31" s="22"/>
      <c r="H31" s="22"/>
      <c r="I31" s="22"/>
      <c r="J31" s="22"/>
    </row>
    <row r="32" spans="1:10">
      <c r="C32" s="22"/>
      <c r="D32" s="249" t="s">
        <v>661</v>
      </c>
      <c r="E32" s="250"/>
      <c r="F32" s="250"/>
      <c r="G32" s="250"/>
      <c r="H32" s="250"/>
      <c r="I32" s="250"/>
      <c r="J32" s="22"/>
    </row>
    <row r="33" spans="3:10">
      <c r="C33" s="22"/>
      <c r="D33" s="250"/>
      <c r="E33" s="250"/>
      <c r="F33" s="250"/>
      <c r="G33" s="250"/>
      <c r="H33" s="250"/>
      <c r="I33" s="250"/>
      <c r="J33" s="22"/>
    </row>
    <row r="34" spans="3:10">
      <c r="C34" s="22"/>
      <c r="D34" s="250"/>
      <c r="E34" s="250"/>
      <c r="F34" s="250"/>
      <c r="G34" s="250"/>
      <c r="H34" s="250"/>
      <c r="I34" s="250"/>
      <c r="J34" s="22"/>
    </row>
    <row r="35" spans="3:10">
      <c r="C35" s="22"/>
      <c r="D35" s="250"/>
      <c r="E35" s="250"/>
      <c r="F35" s="250"/>
      <c r="G35" s="250"/>
      <c r="H35" s="250"/>
      <c r="I35" s="250"/>
      <c r="J35" s="22"/>
    </row>
    <row r="36" spans="3:10">
      <c r="C36" s="22"/>
      <c r="D36" s="250"/>
      <c r="E36" s="250"/>
      <c r="F36" s="250"/>
      <c r="G36" s="250"/>
      <c r="H36" s="250"/>
      <c r="I36" s="250"/>
      <c r="J36" s="22"/>
    </row>
    <row r="37" spans="3:10">
      <c r="C37" s="22"/>
      <c r="D37" s="250"/>
      <c r="E37" s="250"/>
      <c r="F37" s="250"/>
      <c r="G37" s="250"/>
      <c r="H37" s="250"/>
      <c r="I37" s="250"/>
      <c r="J37" s="22"/>
    </row>
    <row r="38" spans="3:10">
      <c r="C38" s="22"/>
      <c r="D38" s="250"/>
      <c r="E38" s="250"/>
      <c r="F38" s="250"/>
      <c r="G38" s="250"/>
      <c r="H38" s="250"/>
      <c r="I38" s="250"/>
      <c r="J38" s="22"/>
    </row>
    <row r="39" spans="3:10">
      <c r="C39" s="22"/>
      <c r="D39" s="250"/>
      <c r="E39" s="250"/>
      <c r="F39" s="250"/>
      <c r="G39" s="250"/>
      <c r="H39" s="250"/>
      <c r="I39" s="250"/>
      <c r="J39" s="22"/>
    </row>
    <row r="40" spans="3:10">
      <c r="C40" s="22"/>
      <c r="D40" s="60"/>
      <c r="E40" s="60"/>
      <c r="F40" s="60"/>
      <c r="G40" s="60"/>
      <c r="H40" s="60"/>
      <c r="I40" s="60"/>
      <c r="J40" s="22"/>
    </row>
    <row r="41" spans="3:10">
      <c r="C41" s="22"/>
      <c r="D41" s="252" t="s">
        <v>212</v>
      </c>
      <c r="E41" s="252"/>
      <c r="F41" s="252"/>
      <c r="G41" s="252"/>
      <c r="H41" s="252"/>
      <c r="I41" s="252"/>
      <c r="J41" s="22"/>
    </row>
    <row r="42" spans="3:10">
      <c r="C42" s="22"/>
      <c r="D42" s="252"/>
      <c r="E42" s="252"/>
      <c r="F42" s="252"/>
      <c r="G42" s="252"/>
      <c r="H42" s="252"/>
      <c r="I42" s="252"/>
      <c r="J42" s="22"/>
    </row>
    <row r="43" spans="3:10" ht="17.100000000000001" customHeight="1">
      <c r="C43" s="22"/>
      <c r="D43" s="252"/>
      <c r="E43" s="252"/>
      <c r="F43" s="252"/>
      <c r="G43" s="252"/>
      <c r="H43" s="252"/>
      <c r="I43" s="252"/>
      <c r="J43" s="22"/>
    </row>
    <row r="44" spans="3:10" ht="20.25" customHeight="1">
      <c r="C44" s="22"/>
      <c r="D44" s="22"/>
      <c r="E44" s="22"/>
      <c r="F44" s="22"/>
      <c r="G44" s="22"/>
      <c r="H44" s="22"/>
      <c r="I44" s="22"/>
      <c r="J44" s="22"/>
    </row>
    <row r="45" spans="3:10" ht="22.5" customHeight="1">
      <c r="C45" s="22"/>
      <c r="D45" s="252" t="s">
        <v>213</v>
      </c>
      <c r="E45" s="252"/>
      <c r="F45" s="252"/>
      <c r="G45" s="252"/>
      <c r="H45" s="252"/>
      <c r="I45" s="252"/>
      <c r="J45" s="22"/>
    </row>
    <row r="46" spans="3:10" ht="22.5" customHeight="1">
      <c r="C46" s="22"/>
      <c r="D46" s="252"/>
      <c r="E46" s="252"/>
      <c r="F46" s="252"/>
      <c r="G46" s="252"/>
      <c r="H46" s="252"/>
      <c r="I46" s="252"/>
      <c r="J46" s="22"/>
    </row>
    <row r="47" spans="3:10" ht="22.5" customHeight="1">
      <c r="C47" s="22"/>
      <c r="D47" s="252"/>
      <c r="E47" s="252"/>
      <c r="F47" s="252"/>
      <c r="G47" s="252"/>
      <c r="H47" s="252"/>
      <c r="I47" s="252"/>
      <c r="J47" s="22"/>
    </row>
    <row r="48" spans="3:10" ht="22.5" customHeight="1">
      <c r="C48" s="22"/>
      <c r="D48" s="252"/>
      <c r="E48" s="252"/>
      <c r="F48" s="252"/>
      <c r="G48" s="252"/>
      <c r="H48" s="252"/>
      <c r="I48" s="252"/>
      <c r="J48" s="22"/>
    </row>
    <row r="49" spans="3:10">
      <c r="C49" s="22"/>
      <c r="D49" s="22"/>
      <c r="E49" s="22"/>
      <c r="F49" s="22"/>
      <c r="G49" s="22"/>
      <c r="H49" s="22"/>
      <c r="I49" s="22"/>
      <c r="J49" s="22"/>
    </row>
    <row r="50" spans="3:10" ht="15.75">
      <c r="C50" s="22"/>
      <c r="D50" s="22"/>
      <c r="E50" s="247" t="s">
        <v>214</v>
      </c>
      <c r="F50" s="247"/>
      <c r="G50" s="247"/>
      <c r="H50" s="1"/>
      <c r="I50" s="22"/>
      <c r="J50" s="22"/>
    </row>
    <row r="51" spans="3:10" ht="15.75">
      <c r="C51" s="22"/>
      <c r="D51" s="22"/>
      <c r="E51" s="248"/>
      <c r="F51" s="248"/>
      <c r="G51" s="248"/>
      <c r="H51" s="1"/>
      <c r="I51" s="22"/>
      <c r="J51" s="22"/>
    </row>
    <row r="52" spans="3:10" ht="15.75">
      <c r="C52" s="22"/>
      <c r="D52" s="22"/>
      <c r="E52" s="248"/>
      <c r="F52" s="248"/>
      <c r="G52" s="248"/>
      <c r="H52" s="1"/>
      <c r="I52" s="22"/>
      <c r="J52" s="22"/>
    </row>
    <row r="53" spans="3:10" ht="15.75">
      <c r="C53" s="22"/>
      <c r="D53" s="22"/>
      <c r="E53" s="248"/>
      <c r="F53" s="248"/>
      <c r="G53" s="248"/>
      <c r="H53" s="1"/>
      <c r="I53" s="22"/>
      <c r="J53" s="22"/>
    </row>
    <row r="54" spans="3:10">
      <c r="C54" s="22"/>
      <c r="D54" s="22"/>
      <c r="E54" s="22"/>
      <c r="F54" s="22"/>
      <c r="G54" s="22"/>
      <c r="H54" s="22"/>
      <c r="I54" s="22"/>
      <c r="J54" s="22"/>
    </row>
  </sheetData>
  <sheetProtection algorithmName="SHA-512" hashValue="w6cSc4m5lr3AGg5tuNMwBuWGH/ib29QRpKOb/j1WM6jmRhofUZuRMjntiTV9hZb12TioOPjF6IETYEUZHHR6xg==" saltValue="UbbzYcYgTuSAkZ2VAULJzw==" spinCount="100000" sheet="1" objects="1" scenarios="1"/>
  <mergeCells count="36">
    <mergeCell ref="H14:I14"/>
    <mergeCell ref="H15:I15"/>
    <mergeCell ref="H17:I17"/>
    <mergeCell ref="H16:I16"/>
    <mergeCell ref="H19:I19"/>
    <mergeCell ref="E12:I12"/>
    <mergeCell ref="L4:N9"/>
    <mergeCell ref="L10:N10"/>
    <mergeCell ref="D6:I6"/>
    <mergeCell ref="D5:I5"/>
    <mergeCell ref="E9:I9"/>
    <mergeCell ref="E10:I10"/>
    <mergeCell ref="A6:B6"/>
    <mergeCell ref="A8:B8"/>
    <mergeCell ref="A10:B10"/>
    <mergeCell ref="A11:B11"/>
    <mergeCell ref="A12:B12"/>
    <mergeCell ref="A13:B13"/>
    <mergeCell ref="A14:B14"/>
    <mergeCell ref="A15:B15"/>
    <mergeCell ref="A16:B16"/>
    <mergeCell ref="A17:B17"/>
    <mergeCell ref="E50:G50"/>
    <mergeCell ref="E51:G53"/>
    <mergeCell ref="D32:I39"/>
    <mergeCell ref="A18:B18"/>
    <mergeCell ref="A19:B19"/>
    <mergeCell ref="A20:B20"/>
    <mergeCell ref="A21:B21"/>
    <mergeCell ref="H25:I25"/>
    <mergeCell ref="D41:I43"/>
    <mergeCell ref="D45:I48"/>
    <mergeCell ref="H20:I20"/>
    <mergeCell ref="H21:I21"/>
    <mergeCell ref="H24:I24"/>
    <mergeCell ref="H23:I23"/>
  </mergeCells>
  <conditionalFormatting sqref="D10">
    <cfRule type="expression" dxfId="3" priority="2" stopIfTrue="1">
      <formula>$J$8&gt;0</formula>
    </cfRule>
  </conditionalFormatting>
  <conditionalFormatting sqref="D32">
    <cfRule type="containsBlanks" dxfId="2" priority="13" stopIfTrue="1">
      <formula>LEN(TRIM(D32))=0</formula>
    </cfRule>
  </conditionalFormatting>
  <conditionalFormatting sqref="E9 E12">
    <cfRule type="containsBlanks" dxfId="1" priority="12">
      <formula>LEN(TRIM(E9))=0</formula>
    </cfRule>
  </conditionalFormatting>
  <conditionalFormatting sqref="E10">
    <cfRule type="expression" dxfId="0" priority="1">
      <formula>$J$8&gt;0</formula>
    </cfRule>
  </conditionalFormatting>
  <dataValidations count="2">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D32" xr:uid="{EDBE74DD-17ED-498C-A412-ABD08074E9F9}"/>
    <dataValidation allowBlank="1" showInputMessage="1" showErrorMessage="1" promptTitle="Nombres y Apellidos" prompt="Diligencie los nombres y apellidos del jefe de control interno que esta reportando o quien haga sus veces" sqref="E12:I12" xr:uid="{CCD552C2-689A-4BCA-ADDB-D9F5DFC606B8}"/>
  </dataValidations>
  <hyperlinks>
    <hyperlink ref="A10:B10" location="Abogados!A1" display="Abogados" xr:uid="{C3DACCF3-0DAC-4650-BA27-2162B984E310}"/>
    <hyperlink ref="A12:B12" location="Judiciales!A1" display="Judiciales" xr:uid="{F6B6557D-66A6-4861-9AC2-379454BCE0FE}"/>
    <hyperlink ref="A18:B18" location="Pagos!A1" display="Pagos" xr:uid="{B3E321A8-E210-4856-86D1-FBE190D3EE9B}"/>
    <hyperlink ref="A8:B8" location="Usuarios!A1" display="Usuarios" xr:uid="{462B975B-132E-49C2-8448-AD05B8F0CFE3}"/>
    <hyperlink ref="A16:B16" location="'Comité de conciliación'!A1" display="Comité de conciliación" xr:uid="{7290BA12-58D1-4C98-8B7C-B12461052771}"/>
    <hyperlink ref="A20:B20" location="Resumen!A1" display="Resumen general" xr:uid="{2C9AE526-34BB-41A6-BDF9-52DEFED13A7E}"/>
    <hyperlink ref="A14:B14" location="Arbitramentos!A1" display="Arbitramentos" xr:uid="{3BFCF276-C193-4730-98E4-A08069B32EFB}"/>
    <hyperlink ref="A6:B6" location="Portada!A1" display="Portada" xr:uid="{9D3AF116-463E-4572-B6FB-C7292364112F}"/>
    <hyperlink ref="L10:N10" r:id="rId1" display="Acceder al manual" xr:uid="{FBCC514E-FE4B-40AE-9FED-7BBA3B34CEFA}"/>
  </hyperlinks>
  <pageMargins left="0.70866141732283472" right="0.70866141732283472" top="0.74803149606299213" bottom="0.74803149606299213" header="0.31496062992125984" footer="0.31496062992125984"/>
  <pageSetup scale="61"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6DB9E85-D6F1-485B-AA9E-F9CFF0E12ED5}">
          <x14:formula1>
            <xm:f>Administrador!$I$2:$I$338</xm:f>
          </x14:formula1>
          <xm:sqref>E9:I9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792E-9740-4DEE-ACD8-1F8876F7F254}">
  <dimension ref="A1:O426"/>
  <sheetViews>
    <sheetView topLeftCell="I7" workbookViewId="0">
      <selection activeCell="I17" sqref="I16:I17"/>
    </sheetView>
  </sheetViews>
  <sheetFormatPr baseColWidth="10" defaultColWidth="11.42578125" defaultRowHeight="15"/>
  <cols>
    <col min="1" max="1" width="23.28515625" customWidth="1"/>
    <col min="2" max="2" width="29.85546875" bestFit="1" customWidth="1"/>
    <col min="3" max="3" width="11.85546875" bestFit="1" customWidth="1"/>
    <col min="9" max="9" width="125" customWidth="1"/>
  </cols>
  <sheetData>
    <row r="1" spans="1:15">
      <c r="A1" s="39" t="s">
        <v>8</v>
      </c>
      <c r="I1" s="39" t="s">
        <v>180</v>
      </c>
    </row>
    <row r="2" spans="1:15">
      <c r="A2" t="s">
        <v>31</v>
      </c>
      <c r="I2" t="s">
        <v>215</v>
      </c>
      <c r="J2">
        <v>0</v>
      </c>
      <c r="L2" s="2" t="s">
        <v>1</v>
      </c>
      <c r="M2" t="s">
        <v>216</v>
      </c>
      <c r="N2">
        <v>2024</v>
      </c>
      <c r="O2" s="78" t="s">
        <v>217</v>
      </c>
    </row>
    <row r="3" spans="1:15">
      <c r="A3" t="s">
        <v>187</v>
      </c>
      <c r="I3" t="s">
        <v>218</v>
      </c>
      <c r="J3">
        <v>0</v>
      </c>
      <c r="L3" s="2" t="s">
        <v>2</v>
      </c>
      <c r="M3" t="s">
        <v>219</v>
      </c>
      <c r="N3">
        <v>2025</v>
      </c>
      <c r="O3" s="78" t="s">
        <v>220</v>
      </c>
    </row>
    <row r="4" spans="1:15">
      <c r="A4" t="s">
        <v>192</v>
      </c>
      <c r="I4" t="s">
        <v>221</v>
      </c>
      <c r="J4">
        <v>0</v>
      </c>
      <c r="L4" s="2" t="s">
        <v>3</v>
      </c>
      <c r="M4" t="s">
        <v>216</v>
      </c>
      <c r="N4">
        <v>2025</v>
      </c>
      <c r="O4" s="78" t="s">
        <v>217</v>
      </c>
    </row>
    <row r="5" spans="1:15">
      <c r="I5" t="s">
        <v>222</v>
      </c>
      <c r="J5">
        <v>0</v>
      </c>
      <c r="L5" s="2" t="s">
        <v>6</v>
      </c>
      <c r="M5" t="s">
        <v>219</v>
      </c>
      <c r="N5">
        <v>2026</v>
      </c>
      <c r="O5" s="78" t="s">
        <v>220</v>
      </c>
    </row>
    <row r="6" spans="1:15">
      <c r="A6" t="s">
        <v>223</v>
      </c>
      <c r="B6">
        <f>COUNTIF(Usuarios!H12:I23,"SI")/COUNTA(Usuarios!H12:I23)*100</f>
        <v>100</v>
      </c>
      <c r="I6" t="s">
        <v>224</v>
      </c>
      <c r="J6">
        <v>0</v>
      </c>
      <c r="L6" s="2" t="s">
        <v>7</v>
      </c>
      <c r="M6" t="s">
        <v>216</v>
      </c>
      <c r="N6">
        <v>2026</v>
      </c>
      <c r="O6" s="78" t="s">
        <v>217</v>
      </c>
    </row>
    <row r="7" spans="1:15">
      <c r="I7" t="s">
        <v>225</v>
      </c>
      <c r="J7">
        <v>0</v>
      </c>
      <c r="L7" s="2"/>
      <c r="O7" s="78"/>
    </row>
    <row r="8" spans="1:15">
      <c r="I8" t="s">
        <v>226</v>
      </c>
      <c r="J8">
        <v>0</v>
      </c>
    </row>
    <row r="9" spans="1:15">
      <c r="I9" t="s">
        <v>227</v>
      </c>
      <c r="J9">
        <v>0</v>
      </c>
      <c r="L9" s="78">
        <v>40179</v>
      </c>
      <c r="M9">
        <v>0</v>
      </c>
    </row>
    <row r="10" spans="1:15">
      <c r="I10" t="s">
        <v>228</v>
      </c>
      <c r="J10">
        <v>0</v>
      </c>
      <c r="L10" s="78">
        <v>43831</v>
      </c>
      <c r="M10">
        <v>1</v>
      </c>
    </row>
    <row r="11" spans="1:15">
      <c r="I11" t="s">
        <v>229</v>
      </c>
      <c r="J11">
        <v>0</v>
      </c>
      <c r="L11" s="78">
        <v>45292</v>
      </c>
      <c r="M11">
        <v>2</v>
      </c>
    </row>
    <row r="12" spans="1:15">
      <c r="I12" t="s">
        <v>230</v>
      </c>
      <c r="J12">
        <v>0</v>
      </c>
      <c r="L12" s="78"/>
    </row>
    <row r="13" spans="1:15">
      <c r="I13" t="s">
        <v>231</v>
      </c>
      <c r="J13">
        <v>0</v>
      </c>
    </row>
    <row r="14" spans="1:15">
      <c r="I14" t="s">
        <v>232</v>
      </c>
      <c r="J14">
        <v>0</v>
      </c>
    </row>
    <row r="15" spans="1:15">
      <c r="A15" s="39" t="s">
        <v>233</v>
      </c>
      <c r="C15" s="39" t="s">
        <v>234</v>
      </c>
      <c r="D15" t="s">
        <v>235</v>
      </c>
      <c r="I15" t="s">
        <v>236</v>
      </c>
      <c r="J15">
        <v>0</v>
      </c>
      <c r="L15" s="78"/>
    </row>
    <row r="16" spans="1:15">
      <c r="A16" t="s">
        <v>237</v>
      </c>
      <c r="B16" t="str">
        <f>+Portada!I6</f>
        <v>II - 2024</v>
      </c>
      <c r="D16" t="s">
        <v>238</v>
      </c>
      <c r="I16" t="s">
        <v>239</v>
      </c>
      <c r="J16">
        <v>0</v>
      </c>
    </row>
    <row r="17" spans="1:10">
      <c r="B17" t="str">
        <f>+VLOOKUP(B16,$L$2:$N$6,2,0)</f>
        <v>SEGUNDO</v>
      </c>
      <c r="I17" t="s">
        <v>240</v>
      </c>
      <c r="J17">
        <v>0</v>
      </c>
    </row>
    <row r="18" spans="1:10">
      <c r="B18">
        <f>+VLOOKUP(B16,$L$2:$N$6,3,0)</f>
        <v>2024</v>
      </c>
      <c r="I18" t="s">
        <v>241</v>
      </c>
      <c r="J18">
        <v>0</v>
      </c>
    </row>
    <row r="19" spans="1:10">
      <c r="B19" s="79" t="str">
        <f>+VLOOKUP(B16,$L$2:$O$6,4,0)</f>
        <v xml:space="preserve">31 DE DICIEMBRE </v>
      </c>
      <c r="I19" t="s">
        <v>242</v>
      </c>
      <c r="J19">
        <v>0</v>
      </c>
    </row>
    <row r="20" spans="1:10">
      <c r="I20" t="s">
        <v>243</v>
      </c>
      <c r="J20">
        <v>0</v>
      </c>
    </row>
    <row r="21" spans="1:10">
      <c r="A21" s="39" t="s">
        <v>10</v>
      </c>
      <c r="I21" t="s">
        <v>244</v>
      </c>
      <c r="J21">
        <v>0</v>
      </c>
    </row>
    <row r="22" spans="1:10">
      <c r="A22" t="s">
        <v>245</v>
      </c>
      <c r="B22" t="b">
        <f>IF(OR(Abogados!E9&lt;&gt;"XX",Abogados!E9=""),TRUE,FALSE)</f>
        <v>1</v>
      </c>
      <c r="I22" t="s">
        <v>246</v>
      </c>
      <c r="J22">
        <v>0</v>
      </c>
    </row>
    <row r="23" spans="1:10">
      <c r="I23" t="s">
        <v>247</v>
      </c>
      <c r="J23">
        <v>0</v>
      </c>
    </row>
    <row r="24" spans="1:10">
      <c r="A24" s="39" t="s">
        <v>248</v>
      </c>
      <c r="I24" t="s">
        <v>249</v>
      </c>
      <c r="J24">
        <v>0</v>
      </c>
    </row>
    <row r="25" spans="1:10">
      <c r="A25" t="s">
        <v>245</v>
      </c>
      <c r="B25" t="str">
        <f>Usuarios!H16</f>
        <v>Si</v>
      </c>
      <c r="I25" t="s">
        <v>250</v>
      </c>
      <c r="J25">
        <v>0</v>
      </c>
    </row>
    <row r="26" spans="1:10">
      <c r="A26" s="247" t="s">
        <v>251</v>
      </c>
      <c r="B26" s="247"/>
      <c r="C26" s="247"/>
      <c r="I26" t="s">
        <v>252</v>
      </c>
      <c r="J26">
        <v>0</v>
      </c>
    </row>
    <row r="27" spans="1:10" ht="15.75">
      <c r="A27" s="260">
        <v>2024</v>
      </c>
      <c r="B27" s="260"/>
      <c r="C27" s="260"/>
      <c r="I27" t="s">
        <v>253</v>
      </c>
      <c r="J27">
        <v>0</v>
      </c>
    </row>
    <row r="28" spans="1:10">
      <c r="I28" t="s">
        <v>254</v>
      </c>
      <c r="J28">
        <v>0</v>
      </c>
    </row>
    <row r="29" spans="1:10">
      <c r="I29" t="s">
        <v>255</v>
      </c>
      <c r="J29">
        <v>0</v>
      </c>
    </row>
    <row r="30" spans="1:10">
      <c r="I30" t="s">
        <v>256</v>
      </c>
      <c r="J30">
        <v>0</v>
      </c>
    </row>
    <row r="31" spans="1:10">
      <c r="A31" s="39" t="s">
        <v>257</v>
      </c>
      <c r="C31" s="39" t="s">
        <v>234</v>
      </c>
      <c r="D31" t="s">
        <v>116</v>
      </c>
      <c r="I31" t="s">
        <v>258</v>
      </c>
      <c r="J31">
        <v>0</v>
      </c>
    </row>
    <row r="32" spans="1:10">
      <c r="A32" t="s">
        <v>259</v>
      </c>
      <c r="B32" t="str">
        <f>Pagos!M6</f>
        <v>SÍ</v>
      </c>
      <c r="D32" t="s">
        <v>260</v>
      </c>
      <c r="I32" t="s">
        <v>261</v>
      </c>
      <c r="J32">
        <v>0</v>
      </c>
    </row>
    <row r="33" spans="9:10">
      <c r="I33" t="s">
        <v>262</v>
      </c>
      <c r="J33">
        <v>0</v>
      </c>
    </row>
    <row r="34" spans="9:10">
      <c r="I34" t="s">
        <v>263</v>
      </c>
      <c r="J34">
        <v>0</v>
      </c>
    </row>
    <row r="35" spans="9:10">
      <c r="I35" t="s">
        <v>264</v>
      </c>
      <c r="J35">
        <v>0</v>
      </c>
    </row>
    <row r="36" spans="9:10">
      <c r="I36" t="s">
        <v>265</v>
      </c>
      <c r="J36">
        <v>0</v>
      </c>
    </row>
    <row r="37" spans="9:10">
      <c r="I37" t="s">
        <v>266</v>
      </c>
      <c r="J37">
        <v>0</v>
      </c>
    </row>
    <row r="38" spans="9:10">
      <c r="I38" t="s">
        <v>267</v>
      </c>
      <c r="J38">
        <v>0</v>
      </c>
    </row>
    <row r="39" spans="9:10">
      <c r="I39" t="s">
        <v>268</v>
      </c>
      <c r="J39">
        <v>0</v>
      </c>
    </row>
    <row r="40" spans="9:10">
      <c r="I40" t="s">
        <v>269</v>
      </c>
      <c r="J40">
        <v>0</v>
      </c>
    </row>
    <row r="41" spans="9:10">
      <c r="I41" t="s">
        <v>270</v>
      </c>
      <c r="J41">
        <v>0</v>
      </c>
    </row>
    <row r="42" spans="9:10">
      <c r="I42" t="s">
        <v>271</v>
      </c>
      <c r="J42">
        <v>0</v>
      </c>
    </row>
    <row r="43" spans="9:10">
      <c r="I43" t="s">
        <v>272</v>
      </c>
      <c r="J43">
        <v>0</v>
      </c>
    </row>
    <row r="44" spans="9:10">
      <c r="I44" t="s">
        <v>273</v>
      </c>
      <c r="J44">
        <v>0</v>
      </c>
    </row>
    <row r="45" spans="9:10">
      <c r="I45" t="s">
        <v>274</v>
      </c>
      <c r="J45">
        <v>0</v>
      </c>
    </row>
    <row r="46" spans="9:10">
      <c r="I46" t="s">
        <v>275</v>
      </c>
      <c r="J46">
        <v>0</v>
      </c>
    </row>
    <row r="47" spans="9:10">
      <c r="I47" t="s">
        <v>276</v>
      </c>
      <c r="J47">
        <v>0</v>
      </c>
    </row>
    <row r="48" spans="9:10">
      <c r="I48" t="s">
        <v>277</v>
      </c>
      <c r="J48">
        <v>0</v>
      </c>
    </row>
    <row r="49" spans="9:10">
      <c r="I49" t="s">
        <v>278</v>
      </c>
      <c r="J49">
        <v>0</v>
      </c>
    </row>
    <row r="50" spans="9:10">
      <c r="I50" t="s">
        <v>279</v>
      </c>
      <c r="J50">
        <v>0</v>
      </c>
    </row>
    <row r="51" spans="9:10">
      <c r="I51" t="s">
        <v>280</v>
      </c>
      <c r="J51">
        <v>0</v>
      </c>
    </row>
    <row r="52" spans="9:10">
      <c r="I52" t="s">
        <v>281</v>
      </c>
      <c r="J52">
        <v>0</v>
      </c>
    </row>
    <row r="53" spans="9:10">
      <c r="I53" t="s">
        <v>282</v>
      </c>
      <c r="J53">
        <v>0</v>
      </c>
    </row>
    <row r="54" spans="9:10">
      <c r="I54" t="s">
        <v>283</v>
      </c>
      <c r="J54">
        <v>0</v>
      </c>
    </row>
    <row r="55" spans="9:10">
      <c r="I55" t="s">
        <v>284</v>
      </c>
      <c r="J55">
        <v>0</v>
      </c>
    </row>
    <row r="56" spans="9:10">
      <c r="I56" t="s">
        <v>285</v>
      </c>
      <c r="J56">
        <v>0</v>
      </c>
    </row>
    <row r="57" spans="9:10">
      <c r="I57" t="s">
        <v>286</v>
      </c>
      <c r="J57">
        <v>0</v>
      </c>
    </row>
    <row r="58" spans="9:10">
      <c r="I58" t="s">
        <v>287</v>
      </c>
      <c r="J58">
        <v>0</v>
      </c>
    </row>
    <row r="59" spans="9:10">
      <c r="I59" t="s">
        <v>288</v>
      </c>
      <c r="J59">
        <v>0</v>
      </c>
    </row>
    <row r="60" spans="9:10">
      <c r="I60" t="s">
        <v>289</v>
      </c>
      <c r="J60">
        <v>0</v>
      </c>
    </row>
    <row r="61" spans="9:10">
      <c r="I61" t="s">
        <v>290</v>
      </c>
      <c r="J61">
        <v>0</v>
      </c>
    </row>
    <row r="62" spans="9:10">
      <c r="I62" t="s">
        <v>291</v>
      </c>
      <c r="J62">
        <v>0</v>
      </c>
    </row>
    <row r="63" spans="9:10">
      <c r="I63" t="s">
        <v>292</v>
      </c>
      <c r="J63">
        <v>0</v>
      </c>
    </row>
    <row r="64" spans="9:10">
      <c r="I64" t="s">
        <v>293</v>
      </c>
      <c r="J64">
        <v>0</v>
      </c>
    </row>
    <row r="65" spans="9:10">
      <c r="I65" t="s">
        <v>294</v>
      </c>
      <c r="J65">
        <v>0</v>
      </c>
    </row>
    <row r="66" spans="9:10">
      <c r="I66" t="s">
        <v>295</v>
      </c>
      <c r="J66">
        <v>0</v>
      </c>
    </row>
    <row r="67" spans="9:10">
      <c r="I67" t="s">
        <v>296</v>
      </c>
      <c r="J67">
        <v>0</v>
      </c>
    </row>
    <row r="68" spans="9:10">
      <c r="I68" t="s">
        <v>297</v>
      </c>
      <c r="J68">
        <v>0</v>
      </c>
    </row>
    <row r="69" spans="9:10">
      <c r="I69" t="s">
        <v>298</v>
      </c>
      <c r="J69">
        <v>0</v>
      </c>
    </row>
    <row r="70" spans="9:10">
      <c r="I70" t="s">
        <v>299</v>
      </c>
      <c r="J70">
        <v>0</v>
      </c>
    </row>
    <row r="71" spans="9:10">
      <c r="I71" t="s">
        <v>300</v>
      </c>
      <c r="J71">
        <v>0</v>
      </c>
    </row>
    <row r="72" spans="9:10">
      <c r="I72" t="s">
        <v>301</v>
      </c>
      <c r="J72">
        <v>0</v>
      </c>
    </row>
    <row r="73" spans="9:10">
      <c r="I73" t="s">
        <v>302</v>
      </c>
      <c r="J73">
        <v>0</v>
      </c>
    </row>
    <row r="74" spans="9:10">
      <c r="I74" t="s">
        <v>303</v>
      </c>
      <c r="J74">
        <v>0</v>
      </c>
    </row>
    <row r="75" spans="9:10">
      <c r="I75" t="s">
        <v>304</v>
      </c>
      <c r="J75">
        <v>0</v>
      </c>
    </row>
    <row r="76" spans="9:10">
      <c r="I76" t="s">
        <v>305</v>
      </c>
      <c r="J76">
        <v>0</v>
      </c>
    </row>
    <row r="77" spans="9:10">
      <c r="I77" t="s">
        <v>306</v>
      </c>
      <c r="J77">
        <v>0</v>
      </c>
    </row>
    <row r="78" spans="9:10">
      <c r="I78" t="s">
        <v>307</v>
      </c>
      <c r="J78">
        <v>0</v>
      </c>
    </row>
    <row r="79" spans="9:10">
      <c r="I79" t="s">
        <v>308</v>
      </c>
      <c r="J79">
        <v>0</v>
      </c>
    </row>
    <row r="80" spans="9:10">
      <c r="I80" t="s">
        <v>309</v>
      </c>
      <c r="J80">
        <v>0</v>
      </c>
    </row>
    <row r="81" spans="9:10">
      <c r="I81" t="s">
        <v>310</v>
      </c>
      <c r="J81">
        <v>0</v>
      </c>
    </row>
    <row r="82" spans="9:10">
      <c r="I82" t="s">
        <v>311</v>
      </c>
      <c r="J82">
        <v>0</v>
      </c>
    </row>
    <row r="83" spans="9:10">
      <c r="I83" t="s">
        <v>312</v>
      </c>
      <c r="J83">
        <v>0</v>
      </c>
    </row>
    <row r="84" spans="9:10">
      <c r="I84" t="s">
        <v>313</v>
      </c>
      <c r="J84">
        <v>0</v>
      </c>
    </row>
    <row r="85" spans="9:10">
      <c r="I85" t="s">
        <v>314</v>
      </c>
      <c r="J85">
        <v>0</v>
      </c>
    </row>
    <row r="86" spans="9:10">
      <c r="I86" t="s">
        <v>315</v>
      </c>
      <c r="J86">
        <v>0</v>
      </c>
    </row>
    <row r="87" spans="9:10">
      <c r="I87" t="s">
        <v>316</v>
      </c>
      <c r="J87">
        <v>0</v>
      </c>
    </row>
    <row r="88" spans="9:10">
      <c r="I88" t="s">
        <v>317</v>
      </c>
      <c r="J88">
        <v>0</v>
      </c>
    </row>
    <row r="89" spans="9:10">
      <c r="I89" t="s">
        <v>318</v>
      </c>
      <c r="J89">
        <v>0</v>
      </c>
    </row>
    <row r="90" spans="9:10">
      <c r="I90" t="s">
        <v>319</v>
      </c>
      <c r="J90">
        <v>0</v>
      </c>
    </row>
    <row r="91" spans="9:10">
      <c r="I91" t="s">
        <v>320</v>
      </c>
      <c r="J91">
        <v>0</v>
      </c>
    </row>
    <row r="92" spans="9:10">
      <c r="I92" t="s">
        <v>321</v>
      </c>
      <c r="J92">
        <v>0</v>
      </c>
    </row>
    <row r="93" spans="9:10">
      <c r="I93" t="s">
        <v>322</v>
      </c>
      <c r="J93">
        <v>0</v>
      </c>
    </row>
    <row r="94" spans="9:10">
      <c r="I94" t="s">
        <v>323</v>
      </c>
      <c r="J94">
        <v>0</v>
      </c>
    </row>
    <row r="95" spans="9:10">
      <c r="I95" t="s">
        <v>324</v>
      </c>
      <c r="J95">
        <v>0</v>
      </c>
    </row>
    <row r="96" spans="9:10">
      <c r="I96" t="s">
        <v>325</v>
      </c>
      <c r="J96">
        <v>0</v>
      </c>
    </row>
    <row r="97" spans="9:10">
      <c r="I97" t="s">
        <v>326</v>
      </c>
      <c r="J97">
        <v>0</v>
      </c>
    </row>
    <row r="98" spans="9:10">
      <c r="I98" t="s">
        <v>327</v>
      </c>
      <c r="J98">
        <v>0</v>
      </c>
    </row>
    <row r="99" spans="9:10">
      <c r="I99" t="s">
        <v>328</v>
      </c>
      <c r="J99">
        <v>0</v>
      </c>
    </row>
    <row r="100" spans="9:10">
      <c r="I100" t="s">
        <v>329</v>
      </c>
      <c r="J100">
        <v>0</v>
      </c>
    </row>
    <row r="101" spans="9:10">
      <c r="I101" t="s">
        <v>330</v>
      </c>
      <c r="J101">
        <v>0</v>
      </c>
    </row>
    <row r="102" spans="9:10">
      <c r="I102" t="s">
        <v>331</v>
      </c>
      <c r="J102">
        <v>0</v>
      </c>
    </row>
    <row r="103" spans="9:10">
      <c r="I103" t="s">
        <v>332</v>
      </c>
      <c r="J103">
        <v>0</v>
      </c>
    </row>
    <row r="104" spans="9:10">
      <c r="I104" t="s">
        <v>333</v>
      </c>
      <c r="J104">
        <v>0</v>
      </c>
    </row>
    <row r="105" spans="9:10">
      <c r="I105" t="s">
        <v>334</v>
      </c>
      <c r="J105">
        <v>0</v>
      </c>
    </row>
    <row r="106" spans="9:10">
      <c r="I106" t="s">
        <v>335</v>
      </c>
      <c r="J106">
        <v>0</v>
      </c>
    </row>
    <row r="107" spans="9:10">
      <c r="I107" t="s">
        <v>336</v>
      </c>
      <c r="J107">
        <v>0</v>
      </c>
    </row>
    <row r="108" spans="9:10">
      <c r="I108" t="s">
        <v>337</v>
      </c>
      <c r="J108">
        <v>0</v>
      </c>
    </row>
    <row r="109" spans="9:10">
      <c r="I109" t="s">
        <v>338</v>
      </c>
      <c r="J109">
        <v>0</v>
      </c>
    </row>
    <row r="110" spans="9:10">
      <c r="I110" t="s">
        <v>339</v>
      </c>
      <c r="J110">
        <v>2</v>
      </c>
    </row>
    <row r="111" spans="9:10">
      <c r="I111" t="s">
        <v>340</v>
      </c>
      <c r="J111">
        <v>0</v>
      </c>
    </row>
    <row r="112" spans="9:10">
      <c r="I112" t="s">
        <v>341</v>
      </c>
      <c r="J112">
        <v>2</v>
      </c>
    </row>
    <row r="113" spans="9:10">
      <c r="I113" t="s">
        <v>342</v>
      </c>
      <c r="J113">
        <v>2</v>
      </c>
    </row>
    <row r="114" spans="9:10">
      <c r="I114" t="s">
        <v>343</v>
      </c>
      <c r="J114">
        <v>0</v>
      </c>
    </row>
    <row r="115" spans="9:10">
      <c r="I115" t="s">
        <v>344</v>
      </c>
      <c r="J115">
        <v>0</v>
      </c>
    </row>
    <row r="116" spans="9:10">
      <c r="I116" t="s">
        <v>345</v>
      </c>
      <c r="J116">
        <v>0</v>
      </c>
    </row>
    <row r="117" spans="9:10">
      <c r="I117" t="s">
        <v>346</v>
      </c>
      <c r="J117">
        <v>0</v>
      </c>
    </row>
    <row r="118" spans="9:10">
      <c r="I118" t="s">
        <v>347</v>
      </c>
      <c r="J118">
        <v>0</v>
      </c>
    </row>
    <row r="119" spans="9:10">
      <c r="I119" t="s">
        <v>348</v>
      </c>
      <c r="J119">
        <v>0</v>
      </c>
    </row>
    <row r="120" spans="9:10">
      <c r="I120" t="s">
        <v>349</v>
      </c>
      <c r="J120">
        <v>0</v>
      </c>
    </row>
    <row r="121" spans="9:10">
      <c r="I121" t="s">
        <v>350</v>
      </c>
      <c r="J121">
        <v>0</v>
      </c>
    </row>
    <row r="122" spans="9:10">
      <c r="I122" t="s">
        <v>351</v>
      </c>
      <c r="J122">
        <v>0</v>
      </c>
    </row>
    <row r="123" spans="9:10">
      <c r="I123" t="s">
        <v>352</v>
      </c>
      <c r="J123">
        <v>0</v>
      </c>
    </row>
    <row r="124" spans="9:10">
      <c r="I124" t="s">
        <v>353</v>
      </c>
      <c r="J124">
        <v>0</v>
      </c>
    </row>
    <row r="125" spans="9:10">
      <c r="I125" t="s">
        <v>354</v>
      </c>
      <c r="J125">
        <v>0</v>
      </c>
    </row>
    <row r="126" spans="9:10">
      <c r="I126" t="s">
        <v>355</v>
      </c>
      <c r="J126">
        <v>0</v>
      </c>
    </row>
    <row r="127" spans="9:10">
      <c r="I127" t="s">
        <v>356</v>
      </c>
      <c r="J127">
        <v>0</v>
      </c>
    </row>
    <row r="128" spans="9:10">
      <c r="I128" t="s">
        <v>357</v>
      </c>
      <c r="J128">
        <v>0</v>
      </c>
    </row>
    <row r="129" spans="9:10">
      <c r="I129" t="s">
        <v>358</v>
      </c>
      <c r="J129">
        <v>0</v>
      </c>
    </row>
    <row r="130" spans="9:10">
      <c r="I130" t="s">
        <v>359</v>
      </c>
      <c r="J130">
        <v>0</v>
      </c>
    </row>
    <row r="131" spans="9:10">
      <c r="I131" t="s">
        <v>360</v>
      </c>
      <c r="J131">
        <v>0</v>
      </c>
    </row>
    <row r="132" spans="9:10">
      <c r="I132" t="s">
        <v>361</v>
      </c>
      <c r="J132">
        <v>0</v>
      </c>
    </row>
    <row r="133" spans="9:10">
      <c r="I133" t="s">
        <v>362</v>
      </c>
      <c r="J133">
        <v>0</v>
      </c>
    </row>
    <row r="134" spans="9:10">
      <c r="I134" t="s">
        <v>363</v>
      </c>
      <c r="J134">
        <v>0</v>
      </c>
    </row>
    <row r="135" spans="9:10">
      <c r="I135" t="s">
        <v>364</v>
      </c>
      <c r="J135">
        <v>0</v>
      </c>
    </row>
    <row r="136" spans="9:10">
      <c r="I136" t="s">
        <v>365</v>
      </c>
      <c r="J136">
        <v>0</v>
      </c>
    </row>
    <row r="137" spans="9:10">
      <c r="I137" t="s">
        <v>366</v>
      </c>
      <c r="J137">
        <v>0</v>
      </c>
    </row>
    <row r="138" spans="9:10">
      <c r="I138" t="s">
        <v>367</v>
      </c>
      <c r="J138">
        <v>0</v>
      </c>
    </row>
    <row r="139" spans="9:10">
      <c r="I139" t="s">
        <v>368</v>
      </c>
      <c r="J139">
        <v>0</v>
      </c>
    </row>
    <row r="140" spans="9:10">
      <c r="I140" t="s">
        <v>369</v>
      </c>
      <c r="J140">
        <v>0</v>
      </c>
    </row>
    <row r="141" spans="9:10">
      <c r="I141" t="s">
        <v>370</v>
      </c>
      <c r="J141">
        <v>0</v>
      </c>
    </row>
    <row r="142" spans="9:10">
      <c r="I142" t="s">
        <v>371</v>
      </c>
      <c r="J142">
        <v>0</v>
      </c>
    </row>
    <row r="143" spans="9:10">
      <c r="I143" t="s">
        <v>372</v>
      </c>
      <c r="J143">
        <v>0</v>
      </c>
    </row>
    <row r="144" spans="9:10">
      <c r="I144" t="s">
        <v>373</v>
      </c>
      <c r="J144">
        <v>0</v>
      </c>
    </row>
    <row r="145" spans="9:10">
      <c r="I145" t="s">
        <v>374</v>
      </c>
      <c r="J145">
        <v>0</v>
      </c>
    </row>
    <row r="146" spans="9:10">
      <c r="I146" t="s">
        <v>375</v>
      </c>
      <c r="J146">
        <v>0</v>
      </c>
    </row>
    <row r="147" spans="9:10">
      <c r="I147" t="s">
        <v>376</v>
      </c>
      <c r="J147">
        <v>0</v>
      </c>
    </row>
    <row r="148" spans="9:10">
      <c r="I148" t="s">
        <v>377</v>
      </c>
      <c r="J148">
        <v>0</v>
      </c>
    </row>
    <row r="149" spans="9:10">
      <c r="I149" t="s">
        <v>378</v>
      </c>
      <c r="J149">
        <v>0</v>
      </c>
    </row>
    <row r="150" spans="9:10">
      <c r="I150" t="s">
        <v>379</v>
      </c>
      <c r="J150">
        <v>0</v>
      </c>
    </row>
    <row r="151" spans="9:10">
      <c r="I151" t="s">
        <v>380</v>
      </c>
      <c r="J151">
        <v>0</v>
      </c>
    </row>
    <row r="152" spans="9:10">
      <c r="I152" t="s">
        <v>381</v>
      </c>
      <c r="J152">
        <v>0</v>
      </c>
    </row>
    <row r="153" spans="9:10">
      <c r="I153" t="s">
        <v>382</v>
      </c>
      <c r="J153">
        <v>0</v>
      </c>
    </row>
    <row r="154" spans="9:10">
      <c r="I154" t="s">
        <v>383</v>
      </c>
      <c r="J154">
        <v>0</v>
      </c>
    </row>
    <row r="155" spans="9:10">
      <c r="I155" t="s">
        <v>384</v>
      </c>
      <c r="J155">
        <v>0</v>
      </c>
    </row>
    <row r="156" spans="9:10">
      <c r="I156" t="s">
        <v>385</v>
      </c>
      <c r="J156">
        <v>0</v>
      </c>
    </row>
    <row r="157" spans="9:10">
      <c r="I157" t="s">
        <v>386</v>
      </c>
      <c r="J157">
        <v>0</v>
      </c>
    </row>
    <row r="158" spans="9:10">
      <c r="I158" t="s">
        <v>387</v>
      </c>
      <c r="J158">
        <v>0</v>
      </c>
    </row>
    <row r="159" spans="9:10">
      <c r="I159" t="s">
        <v>388</v>
      </c>
      <c r="J159">
        <v>0</v>
      </c>
    </row>
    <row r="160" spans="9:10">
      <c r="I160" t="s">
        <v>389</v>
      </c>
      <c r="J160">
        <v>0</v>
      </c>
    </row>
    <row r="161" spans="9:10">
      <c r="I161" t="s">
        <v>390</v>
      </c>
      <c r="J161">
        <v>0</v>
      </c>
    </row>
    <row r="162" spans="9:10">
      <c r="I162" t="s">
        <v>391</v>
      </c>
      <c r="J162">
        <v>0</v>
      </c>
    </row>
    <row r="163" spans="9:10">
      <c r="I163" t="s">
        <v>392</v>
      </c>
      <c r="J163">
        <v>0</v>
      </c>
    </row>
    <row r="164" spans="9:10">
      <c r="I164" t="s">
        <v>393</v>
      </c>
      <c r="J164">
        <v>0</v>
      </c>
    </row>
    <row r="165" spans="9:10">
      <c r="I165" t="s">
        <v>394</v>
      </c>
      <c r="J165">
        <v>0</v>
      </c>
    </row>
    <row r="166" spans="9:10">
      <c r="I166" t="s">
        <v>395</v>
      </c>
      <c r="J166">
        <v>0</v>
      </c>
    </row>
    <row r="167" spans="9:10">
      <c r="I167" t="s">
        <v>396</v>
      </c>
      <c r="J167">
        <v>0</v>
      </c>
    </row>
    <row r="168" spans="9:10">
      <c r="I168" t="s">
        <v>397</v>
      </c>
      <c r="J168">
        <v>0</v>
      </c>
    </row>
    <row r="169" spans="9:10">
      <c r="I169" t="s">
        <v>398</v>
      </c>
      <c r="J169">
        <v>0</v>
      </c>
    </row>
    <row r="170" spans="9:10">
      <c r="I170" t="s">
        <v>399</v>
      </c>
      <c r="J170">
        <v>0</v>
      </c>
    </row>
    <row r="171" spans="9:10">
      <c r="I171" t="s">
        <v>400</v>
      </c>
      <c r="J171">
        <v>0</v>
      </c>
    </row>
    <row r="172" spans="9:10">
      <c r="I172" t="s">
        <v>401</v>
      </c>
      <c r="J172">
        <v>0</v>
      </c>
    </row>
    <row r="173" spans="9:10">
      <c r="I173" t="s">
        <v>402</v>
      </c>
      <c r="J173">
        <v>0</v>
      </c>
    </row>
    <row r="174" spans="9:10">
      <c r="I174" t="s">
        <v>403</v>
      </c>
      <c r="J174">
        <v>0</v>
      </c>
    </row>
    <row r="175" spans="9:10">
      <c r="I175" t="s">
        <v>404</v>
      </c>
      <c r="J175">
        <v>0</v>
      </c>
    </row>
    <row r="176" spans="9:10">
      <c r="I176" t="s">
        <v>405</v>
      </c>
      <c r="J176">
        <v>0</v>
      </c>
    </row>
    <row r="177" spans="9:10">
      <c r="I177" t="s">
        <v>406</v>
      </c>
      <c r="J177">
        <v>0</v>
      </c>
    </row>
    <row r="178" spans="9:10">
      <c r="I178" t="s">
        <v>407</v>
      </c>
      <c r="J178">
        <v>0</v>
      </c>
    </row>
    <row r="179" spans="9:10">
      <c r="I179" t="s">
        <v>408</v>
      </c>
      <c r="J179">
        <v>0</v>
      </c>
    </row>
    <row r="180" spans="9:10">
      <c r="I180" t="s">
        <v>409</v>
      </c>
      <c r="J180">
        <v>0</v>
      </c>
    </row>
    <row r="181" spans="9:10">
      <c r="I181" t="s">
        <v>410</v>
      </c>
      <c r="J181">
        <v>0</v>
      </c>
    </row>
    <row r="182" spans="9:10">
      <c r="I182" t="s">
        <v>411</v>
      </c>
      <c r="J182">
        <v>0</v>
      </c>
    </row>
    <row r="183" spans="9:10">
      <c r="I183" t="s">
        <v>412</v>
      </c>
      <c r="J183">
        <v>0</v>
      </c>
    </row>
    <row r="184" spans="9:10">
      <c r="I184" t="s">
        <v>413</v>
      </c>
      <c r="J184">
        <v>0</v>
      </c>
    </row>
    <row r="185" spans="9:10">
      <c r="I185" t="s">
        <v>414</v>
      </c>
      <c r="J185">
        <v>0</v>
      </c>
    </row>
    <row r="186" spans="9:10">
      <c r="I186" t="s">
        <v>415</v>
      </c>
      <c r="J186">
        <v>0</v>
      </c>
    </row>
    <row r="187" spans="9:10">
      <c r="I187" t="s">
        <v>416</v>
      </c>
      <c r="J187">
        <v>0</v>
      </c>
    </row>
    <row r="188" spans="9:10">
      <c r="I188" t="s">
        <v>417</v>
      </c>
      <c r="J188">
        <v>0</v>
      </c>
    </row>
    <row r="189" spans="9:10">
      <c r="I189" t="s">
        <v>418</v>
      </c>
      <c r="J189">
        <v>0</v>
      </c>
    </row>
    <row r="190" spans="9:10">
      <c r="I190" t="s">
        <v>419</v>
      </c>
      <c r="J190">
        <v>0</v>
      </c>
    </row>
    <row r="191" spans="9:10">
      <c r="I191" t="s">
        <v>420</v>
      </c>
      <c r="J191">
        <v>0</v>
      </c>
    </row>
    <row r="192" spans="9:10">
      <c r="I192" t="s">
        <v>421</v>
      </c>
      <c r="J192">
        <v>0</v>
      </c>
    </row>
    <row r="193" spans="9:10">
      <c r="I193" t="s">
        <v>422</v>
      </c>
      <c r="J193">
        <v>0</v>
      </c>
    </row>
    <row r="194" spans="9:10">
      <c r="I194" t="s">
        <v>423</v>
      </c>
      <c r="J194">
        <v>0</v>
      </c>
    </row>
    <row r="195" spans="9:10">
      <c r="I195" t="s">
        <v>424</v>
      </c>
      <c r="J195">
        <v>0</v>
      </c>
    </row>
    <row r="196" spans="9:10">
      <c r="I196" t="s">
        <v>425</v>
      </c>
      <c r="J196">
        <v>0</v>
      </c>
    </row>
    <row r="197" spans="9:10">
      <c r="I197" t="s">
        <v>426</v>
      </c>
      <c r="J197">
        <v>0</v>
      </c>
    </row>
    <row r="198" spans="9:10">
      <c r="I198" t="s">
        <v>427</v>
      </c>
      <c r="J198">
        <v>0</v>
      </c>
    </row>
    <row r="199" spans="9:10">
      <c r="I199" t="s">
        <v>428</v>
      </c>
      <c r="J199">
        <v>0</v>
      </c>
    </row>
    <row r="200" spans="9:10">
      <c r="I200" t="s">
        <v>429</v>
      </c>
      <c r="J200">
        <v>0</v>
      </c>
    </row>
    <row r="201" spans="9:10">
      <c r="I201" t="s">
        <v>430</v>
      </c>
      <c r="J201">
        <v>0</v>
      </c>
    </row>
    <row r="202" spans="9:10">
      <c r="I202" t="s">
        <v>431</v>
      </c>
      <c r="J202">
        <v>0</v>
      </c>
    </row>
    <row r="203" spans="9:10">
      <c r="I203" t="s">
        <v>432</v>
      </c>
      <c r="J203">
        <v>0</v>
      </c>
    </row>
    <row r="204" spans="9:10">
      <c r="I204" t="s">
        <v>433</v>
      </c>
      <c r="J204">
        <v>0</v>
      </c>
    </row>
    <row r="205" spans="9:10">
      <c r="I205" t="s">
        <v>434</v>
      </c>
      <c r="J205">
        <v>0</v>
      </c>
    </row>
    <row r="206" spans="9:10">
      <c r="I206" t="s">
        <v>435</v>
      </c>
      <c r="J206">
        <v>0</v>
      </c>
    </row>
    <row r="207" spans="9:10">
      <c r="I207" t="s">
        <v>436</v>
      </c>
      <c r="J207">
        <v>0</v>
      </c>
    </row>
    <row r="208" spans="9:10">
      <c r="I208" t="s">
        <v>437</v>
      </c>
      <c r="J208">
        <v>0</v>
      </c>
    </row>
    <row r="209" spans="9:10">
      <c r="I209" t="s">
        <v>438</v>
      </c>
      <c r="J209">
        <v>0</v>
      </c>
    </row>
    <row r="210" spans="9:10">
      <c r="I210" t="s">
        <v>439</v>
      </c>
      <c r="J210">
        <v>0</v>
      </c>
    </row>
    <row r="211" spans="9:10">
      <c r="I211" t="s">
        <v>440</v>
      </c>
      <c r="J211">
        <v>0</v>
      </c>
    </row>
    <row r="212" spans="9:10">
      <c r="I212" t="s">
        <v>441</v>
      </c>
      <c r="J212">
        <v>0</v>
      </c>
    </row>
    <row r="213" spans="9:10">
      <c r="I213" t="s">
        <v>442</v>
      </c>
      <c r="J213">
        <v>0</v>
      </c>
    </row>
    <row r="214" spans="9:10">
      <c r="I214" t="s">
        <v>443</v>
      </c>
      <c r="J214">
        <v>0</v>
      </c>
    </row>
    <row r="215" spans="9:10">
      <c r="I215" t="s">
        <v>444</v>
      </c>
      <c r="J215">
        <v>0</v>
      </c>
    </row>
    <row r="216" spans="9:10">
      <c r="I216" t="s">
        <v>445</v>
      </c>
      <c r="J216">
        <v>0</v>
      </c>
    </row>
    <row r="217" spans="9:10">
      <c r="I217" t="s">
        <v>446</v>
      </c>
      <c r="J217">
        <v>0</v>
      </c>
    </row>
    <row r="218" spans="9:10">
      <c r="I218" t="s">
        <v>447</v>
      </c>
      <c r="J218">
        <v>0</v>
      </c>
    </row>
    <row r="219" spans="9:10">
      <c r="I219" t="s">
        <v>448</v>
      </c>
      <c r="J219">
        <v>0</v>
      </c>
    </row>
    <row r="220" spans="9:10">
      <c r="I220" t="s">
        <v>449</v>
      </c>
      <c r="J220">
        <v>0</v>
      </c>
    </row>
    <row r="221" spans="9:10">
      <c r="I221" t="s">
        <v>450</v>
      </c>
      <c r="J221">
        <v>0</v>
      </c>
    </row>
    <row r="222" spans="9:10">
      <c r="I222" t="s">
        <v>451</v>
      </c>
      <c r="J222">
        <v>0</v>
      </c>
    </row>
    <row r="223" spans="9:10">
      <c r="I223" t="s">
        <v>452</v>
      </c>
      <c r="J223">
        <v>0</v>
      </c>
    </row>
    <row r="224" spans="9:10">
      <c r="I224" t="s">
        <v>453</v>
      </c>
      <c r="J224">
        <v>0</v>
      </c>
    </row>
    <row r="225" spans="9:10">
      <c r="I225" t="s">
        <v>454</v>
      </c>
      <c r="J225">
        <v>0</v>
      </c>
    </row>
    <row r="226" spans="9:10">
      <c r="I226" t="s">
        <v>455</v>
      </c>
      <c r="J226">
        <v>0</v>
      </c>
    </row>
    <row r="227" spans="9:10">
      <c r="I227" t="s">
        <v>456</v>
      </c>
      <c r="J227">
        <v>0</v>
      </c>
    </row>
    <row r="228" spans="9:10">
      <c r="I228" t="s">
        <v>457</v>
      </c>
      <c r="J228">
        <v>0</v>
      </c>
    </row>
    <row r="229" spans="9:10">
      <c r="I229" t="s">
        <v>458</v>
      </c>
      <c r="J229">
        <v>0</v>
      </c>
    </row>
    <row r="230" spans="9:10">
      <c r="I230" t="s">
        <v>459</v>
      </c>
      <c r="J230">
        <v>0</v>
      </c>
    </row>
    <row r="231" spans="9:10">
      <c r="I231" t="s">
        <v>460</v>
      </c>
      <c r="J231">
        <v>0</v>
      </c>
    </row>
    <row r="232" spans="9:10">
      <c r="I232" t="s">
        <v>461</v>
      </c>
      <c r="J232">
        <v>0</v>
      </c>
    </row>
    <row r="233" spans="9:10">
      <c r="I233" t="s">
        <v>462</v>
      </c>
      <c r="J233">
        <v>0</v>
      </c>
    </row>
    <row r="234" spans="9:10">
      <c r="I234" t="s">
        <v>463</v>
      </c>
      <c r="J234">
        <v>0</v>
      </c>
    </row>
    <row r="235" spans="9:10">
      <c r="I235" t="s">
        <v>464</v>
      </c>
      <c r="J235">
        <v>0</v>
      </c>
    </row>
    <row r="236" spans="9:10">
      <c r="I236" t="s">
        <v>465</v>
      </c>
      <c r="J236">
        <v>0</v>
      </c>
    </row>
    <row r="237" spans="9:10">
      <c r="I237" t="s">
        <v>466</v>
      </c>
      <c r="J237">
        <v>0</v>
      </c>
    </row>
    <row r="238" spans="9:10">
      <c r="I238" t="s">
        <v>467</v>
      </c>
      <c r="J238">
        <v>0</v>
      </c>
    </row>
    <row r="239" spans="9:10">
      <c r="I239" t="s">
        <v>468</v>
      </c>
      <c r="J239">
        <v>0</v>
      </c>
    </row>
    <row r="240" spans="9:10">
      <c r="I240" t="s">
        <v>469</v>
      </c>
      <c r="J240">
        <v>0</v>
      </c>
    </row>
    <row r="241" spans="9:10">
      <c r="I241" t="s">
        <v>470</v>
      </c>
      <c r="J241">
        <v>0</v>
      </c>
    </row>
    <row r="242" spans="9:10">
      <c r="I242" t="s">
        <v>471</v>
      </c>
      <c r="J242">
        <v>0</v>
      </c>
    </row>
    <row r="243" spans="9:10">
      <c r="I243" t="s">
        <v>472</v>
      </c>
      <c r="J243">
        <v>0</v>
      </c>
    </row>
    <row r="244" spans="9:10">
      <c r="I244" t="s">
        <v>473</v>
      </c>
      <c r="J244">
        <v>0</v>
      </c>
    </row>
    <row r="245" spans="9:10">
      <c r="I245" t="s">
        <v>474</v>
      </c>
      <c r="J245">
        <v>0</v>
      </c>
    </row>
    <row r="246" spans="9:10">
      <c r="I246" t="s">
        <v>475</v>
      </c>
      <c r="J246">
        <v>0</v>
      </c>
    </row>
    <row r="247" spans="9:10">
      <c r="I247" t="s">
        <v>476</v>
      </c>
      <c r="J247">
        <v>0</v>
      </c>
    </row>
    <row r="248" spans="9:10">
      <c r="I248" t="s">
        <v>477</v>
      </c>
      <c r="J248">
        <v>0</v>
      </c>
    </row>
    <row r="249" spans="9:10">
      <c r="I249" t="s">
        <v>478</v>
      </c>
      <c r="J249">
        <v>0</v>
      </c>
    </row>
    <row r="250" spans="9:10">
      <c r="I250" t="s">
        <v>479</v>
      </c>
      <c r="J250">
        <v>0</v>
      </c>
    </row>
    <row r="251" spans="9:10">
      <c r="I251" t="s">
        <v>480</v>
      </c>
      <c r="J251">
        <v>0</v>
      </c>
    </row>
    <row r="252" spans="9:10">
      <c r="I252" t="s">
        <v>481</v>
      </c>
      <c r="J252">
        <v>0</v>
      </c>
    </row>
    <row r="253" spans="9:10">
      <c r="I253" t="s">
        <v>482</v>
      </c>
      <c r="J253">
        <v>0</v>
      </c>
    </row>
    <row r="254" spans="9:10">
      <c r="I254" t="s">
        <v>483</v>
      </c>
      <c r="J254">
        <v>0</v>
      </c>
    </row>
    <row r="255" spans="9:10">
      <c r="I255" t="s">
        <v>484</v>
      </c>
      <c r="J255">
        <v>0</v>
      </c>
    </row>
    <row r="256" spans="9:10">
      <c r="I256" t="s">
        <v>485</v>
      </c>
      <c r="J256">
        <v>0</v>
      </c>
    </row>
    <row r="257" spans="9:10">
      <c r="I257" t="s">
        <v>486</v>
      </c>
      <c r="J257">
        <v>0</v>
      </c>
    </row>
    <row r="258" spans="9:10">
      <c r="I258" t="s">
        <v>487</v>
      </c>
      <c r="J258">
        <v>0</v>
      </c>
    </row>
    <row r="259" spans="9:10">
      <c r="I259" t="s">
        <v>488</v>
      </c>
      <c r="J259">
        <v>0</v>
      </c>
    </row>
    <row r="260" spans="9:10">
      <c r="I260" t="s">
        <v>489</v>
      </c>
      <c r="J260">
        <v>0</v>
      </c>
    </row>
    <row r="261" spans="9:10">
      <c r="I261" t="s">
        <v>490</v>
      </c>
      <c r="J261">
        <v>0</v>
      </c>
    </row>
    <row r="262" spans="9:10">
      <c r="I262" t="s">
        <v>491</v>
      </c>
      <c r="J262">
        <v>0</v>
      </c>
    </row>
    <row r="263" spans="9:10">
      <c r="I263" t="s">
        <v>492</v>
      </c>
      <c r="J263">
        <v>0</v>
      </c>
    </row>
    <row r="264" spans="9:10">
      <c r="I264" t="s">
        <v>493</v>
      </c>
      <c r="J264">
        <v>0</v>
      </c>
    </row>
    <row r="265" spans="9:10">
      <c r="I265" t="s">
        <v>494</v>
      </c>
      <c r="J265">
        <v>0</v>
      </c>
    </row>
    <row r="266" spans="9:10">
      <c r="I266" t="s">
        <v>495</v>
      </c>
      <c r="J266">
        <v>0</v>
      </c>
    </row>
    <row r="267" spans="9:10">
      <c r="I267" t="s">
        <v>496</v>
      </c>
      <c r="J267">
        <v>0</v>
      </c>
    </row>
    <row r="268" spans="9:10">
      <c r="I268" t="s">
        <v>497</v>
      </c>
      <c r="J268">
        <v>0</v>
      </c>
    </row>
    <row r="269" spans="9:10">
      <c r="I269" t="s">
        <v>498</v>
      </c>
      <c r="J269">
        <v>0</v>
      </c>
    </row>
    <row r="270" spans="9:10">
      <c r="I270" t="s">
        <v>499</v>
      </c>
      <c r="J270">
        <v>0</v>
      </c>
    </row>
    <row r="271" spans="9:10">
      <c r="I271" t="s">
        <v>500</v>
      </c>
      <c r="J271">
        <v>0</v>
      </c>
    </row>
    <row r="272" spans="9:10">
      <c r="I272" t="s">
        <v>501</v>
      </c>
      <c r="J272">
        <v>0</v>
      </c>
    </row>
    <row r="273" spans="9:10">
      <c r="I273" t="s">
        <v>502</v>
      </c>
      <c r="J273">
        <v>0</v>
      </c>
    </row>
    <row r="274" spans="9:10">
      <c r="I274" t="s">
        <v>503</v>
      </c>
      <c r="J274">
        <v>0</v>
      </c>
    </row>
    <row r="275" spans="9:10">
      <c r="I275" t="s">
        <v>504</v>
      </c>
      <c r="J275">
        <v>0</v>
      </c>
    </row>
    <row r="276" spans="9:10">
      <c r="I276" t="s">
        <v>505</v>
      </c>
      <c r="J276">
        <v>0</v>
      </c>
    </row>
    <row r="277" spans="9:10">
      <c r="I277" t="s">
        <v>506</v>
      </c>
      <c r="J277">
        <v>0</v>
      </c>
    </row>
    <row r="278" spans="9:10">
      <c r="I278" t="s">
        <v>507</v>
      </c>
      <c r="J278">
        <v>0</v>
      </c>
    </row>
    <row r="279" spans="9:10">
      <c r="I279" t="s">
        <v>508</v>
      </c>
      <c r="J279">
        <v>0</v>
      </c>
    </row>
    <row r="280" spans="9:10">
      <c r="I280" t="s">
        <v>509</v>
      </c>
      <c r="J280">
        <v>0</v>
      </c>
    </row>
    <row r="281" spans="9:10">
      <c r="I281" t="s">
        <v>510</v>
      </c>
      <c r="J281">
        <v>0</v>
      </c>
    </row>
    <row r="282" spans="9:10">
      <c r="I282" t="s">
        <v>511</v>
      </c>
      <c r="J282">
        <v>0</v>
      </c>
    </row>
    <row r="283" spans="9:10">
      <c r="I283" t="s">
        <v>512</v>
      </c>
      <c r="J283">
        <v>0</v>
      </c>
    </row>
    <row r="284" spans="9:10">
      <c r="I284" t="s">
        <v>513</v>
      </c>
      <c r="J284">
        <v>0</v>
      </c>
    </row>
    <row r="285" spans="9:10">
      <c r="I285" t="s">
        <v>514</v>
      </c>
      <c r="J285">
        <v>0</v>
      </c>
    </row>
    <row r="286" spans="9:10">
      <c r="I286" t="s">
        <v>515</v>
      </c>
      <c r="J286">
        <v>0</v>
      </c>
    </row>
    <row r="287" spans="9:10">
      <c r="I287" t="s">
        <v>516</v>
      </c>
      <c r="J287">
        <v>0</v>
      </c>
    </row>
    <row r="288" spans="9:10">
      <c r="I288" t="s">
        <v>517</v>
      </c>
      <c r="J288">
        <v>0</v>
      </c>
    </row>
    <row r="289" spans="9:10">
      <c r="I289" t="s">
        <v>518</v>
      </c>
      <c r="J289">
        <v>0</v>
      </c>
    </row>
    <row r="290" spans="9:10">
      <c r="I290" t="s">
        <v>519</v>
      </c>
      <c r="J290">
        <v>0</v>
      </c>
    </row>
    <row r="291" spans="9:10">
      <c r="I291" t="s">
        <v>520</v>
      </c>
      <c r="J291">
        <v>0</v>
      </c>
    </row>
    <row r="292" spans="9:10">
      <c r="I292" t="s">
        <v>521</v>
      </c>
      <c r="J292">
        <v>0</v>
      </c>
    </row>
    <row r="293" spans="9:10">
      <c r="I293" t="s">
        <v>522</v>
      </c>
      <c r="J293">
        <v>0</v>
      </c>
    </row>
    <row r="294" spans="9:10">
      <c r="I294" t="s">
        <v>523</v>
      </c>
      <c r="J294">
        <v>0</v>
      </c>
    </row>
    <row r="295" spans="9:10">
      <c r="I295" t="s">
        <v>524</v>
      </c>
      <c r="J295">
        <v>0</v>
      </c>
    </row>
    <row r="296" spans="9:10">
      <c r="I296" t="s">
        <v>525</v>
      </c>
      <c r="J296">
        <v>0</v>
      </c>
    </row>
    <row r="297" spans="9:10">
      <c r="I297" t="s">
        <v>526</v>
      </c>
      <c r="J297">
        <v>0</v>
      </c>
    </row>
    <row r="298" spans="9:10">
      <c r="I298" t="s">
        <v>527</v>
      </c>
      <c r="J298">
        <v>0</v>
      </c>
    </row>
    <row r="299" spans="9:10">
      <c r="I299" t="s">
        <v>528</v>
      </c>
      <c r="J299">
        <v>0</v>
      </c>
    </row>
    <row r="300" spans="9:10">
      <c r="I300" t="s">
        <v>529</v>
      </c>
      <c r="J300">
        <v>0</v>
      </c>
    </row>
    <row r="301" spans="9:10">
      <c r="I301" t="s">
        <v>530</v>
      </c>
      <c r="J301">
        <v>0</v>
      </c>
    </row>
    <row r="302" spans="9:10">
      <c r="I302" t="s">
        <v>531</v>
      </c>
      <c r="J302">
        <v>0</v>
      </c>
    </row>
    <row r="303" spans="9:10">
      <c r="I303" t="s">
        <v>532</v>
      </c>
      <c r="J303">
        <v>0</v>
      </c>
    </row>
    <row r="304" spans="9:10">
      <c r="I304" t="s">
        <v>533</v>
      </c>
      <c r="J304">
        <v>0</v>
      </c>
    </row>
    <row r="305" spans="9:10">
      <c r="I305" t="s">
        <v>534</v>
      </c>
      <c r="J305">
        <v>0</v>
      </c>
    </row>
    <row r="306" spans="9:10">
      <c r="I306" t="s">
        <v>535</v>
      </c>
      <c r="J306">
        <v>0</v>
      </c>
    </row>
    <row r="307" spans="9:10">
      <c r="I307" t="s">
        <v>536</v>
      </c>
      <c r="J307">
        <v>0</v>
      </c>
    </row>
    <row r="308" spans="9:10">
      <c r="I308" t="s">
        <v>537</v>
      </c>
      <c r="J308">
        <v>0</v>
      </c>
    </row>
    <row r="309" spans="9:10">
      <c r="I309" t="s">
        <v>538</v>
      </c>
      <c r="J309">
        <v>0</v>
      </c>
    </row>
    <row r="310" spans="9:10">
      <c r="I310" t="s">
        <v>539</v>
      </c>
      <c r="J310">
        <v>0</v>
      </c>
    </row>
    <row r="311" spans="9:10">
      <c r="I311" t="s">
        <v>540</v>
      </c>
      <c r="J311">
        <v>0</v>
      </c>
    </row>
    <row r="312" spans="9:10">
      <c r="I312" t="s">
        <v>541</v>
      </c>
      <c r="J312">
        <v>0</v>
      </c>
    </row>
    <row r="313" spans="9:10">
      <c r="I313" t="s">
        <v>542</v>
      </c>
      <c r="J313">
        <v>0</v>
      </c>
    </row>
    <row r="314" spans="9:10">
      <c r="I314" t="s">
        <v>543</v>
      </c>
      <c r="J314">
        <v>0</v>
      </c>
    </row>
    <row r="315" spans="9:10">
      <c r="I315" t="s">
        <v>544</v>
      </c>
      <c r="J315">
        <v>0</v>
      </c>
    </row>
    <row r="316" spans="9:10">
      <c r="I316" t="s">
        <v>545</v>
      </c>
      <c r="J316">
        <v>0</v>
      </c>
    </row>
    <row r="317" spans="9:10">
      <c r="I317" t="s">
        <v>546</v>
      </c>
      <c r="J317">
        <v>0</v>
      </c>
    </row>
    <row r="318" spans="9:10">
      <c r="I318" t="s">
        <v>547</v>
      </c>
      <c r="J318">
        <v>0</v>
      </c>
    </row>
    <row r="319" spans="9:10">
      <c r="I319" t="s">
        <v>548</v>
      </c>
      <c r="J319">
        <v>0</v>
      </c>
    </row>
    <row r="320" spans="9:10">
      <c r="I320" t="s">
        <v>549</v>
      </c>
      <c r="J320">
        <v>0</v>
      </c>
    </row>
    <row r="321" spans="9:10">
      <c r="I321" t="s">
        <v>550</v>
      </c>
      <c r="J321">
        <v>0</v>
      </c>
    </row>
    <row r="322" spans="9:10">
      <c r="I322" t="s">
        <v>551</v>
      </c>
      <c r="J322">
        <v>0</v>
      </c>
    </row>
    <row r="323" spans="9:10">
      <c r="I323" t="s">
        <v>552</v>
      </c>
      <c r="J323">
        <v>0</v>
      </c>
    </row>
    <row r="324" spans="9:10">
      <c r="I324" t="s">
        <v>553</v>
      </c>
      <c r="J324">
        <v>0</v>
      </c>
    </row>
    <row r="325" spans="9:10">
      <c r="I325" t="s">
        <v>554</v>
      </c>
      <c r="J325">
        <v>0</v>
      </c>
    </row>
    <row r="326" spans="9:10">
      <c r="I326" t="s">
        <v>555</v>
      </c>
      <c r="J326">
        <v>0</v>
      </c>
    </row>
    <row r="327" spans="9:10">
      <c r="I327" t="s">
        <v>556</v>
      </c>
      <c r="J327">
        <v>0</v>
      </c>
    </row>
    <row r="328" spans="9:10">
      <c r="I328" t="s">
        <v>557</v>
      </c>
      <c r="J328">
        <v>0</v>
      </c>
    </row>
    <row r="329" spans="9:10">
      <c r="I329" t="s">
        <v>558</v>
      </c>
      <c r="J329">
        <v>0</v>
      </c>
    </row>
    <row r="330" spans="9:10">
      <c r="I330" t="s">
        <v>559</v>
      </c>
      <c r="J330">
        <v>0</v>
      </c>
    </row>
    <row r="331" spans="9:10">
      <c r="I331" t="s">
        <v>560</v>
      </c>
      <c r="J331">
        <v>0</v>
      </c>
    </row>
    <row r="332" spans="9:10">
      <c r="I332" t="s">
        <v>561</v>
      </c>
      <c r="J332">
        <v>0</v>
      </c>
    </row>
    <row r="333" spans="9:10">
      <c r="I333" t="s">
        <v>562</v>
      </c>
      <c r="J333">
        <v>0</v>
      </c>
    </row>
    <row r="334" spans="9:10">
      <c r="I334" t="s">
        <v>563</v>
      </c>
      <c r="J334">
        <v>0</v>
      </c>
    </row>
    <row r="335" spans="9:10">
      <c r="I335" t="s">
        <v>564</v>
      </c>
      <c r="J335">
        <v>0</v>
      </c>
    </row>
    <row r="336" spans="9:10">
      <c r="I336" t="s">
        <v>565</v>
      </c>
      <c r="J336">
        <v>0</v>
      </c>
    </row>
    <row r="337" spans="9:10">
      <c r="I337" t="s">
        <v>566</v>
      </c>
      <c r="J337">
        <v>1</v>
      </c>
    </row>
    <row r="338" spans="9:10">
      <c r="I338" t="s">
        <v>567</v>
      </c>
      <c r="J338">
        <v>1</v>
      </c>
    </row>
    <row r="340" spans="9:10">
      <c r="I340" s="70" t="s">
        <v>568</v>
      </c>
      <c r="J340" s="70">
        <v>0</v>
      </c>
    </row>
    <row r="341" spans="9:10">
      <c r="I341" s="70" t="s">
        <v>569</v>
      </c>
      <c r="J341" s="70">
        <v>0</v>
      </c>
    </row>
    <row r="342" spans="9:10">
      <c r="I342" s="70" t="s">
        <v>570</v>
      </c>
      <c r="J342" s="70">
        <v>0</v>
      </c>
    </row>
    <row r="343" spans="9:10">
      <c r="I343" s="70" t="s">
        <v>571</v>
      </c>
      <c r="J343" s="70">
        <v>0</v>
      </c>
    </row>
    <row r="344" spans="9:10">
      <c r="I344" s="70" t="s">
        <v>572</v>
      </c>
      <c r="J344" s="70">
        <v>0</v>
      </c>
    </row>
    <row r="345" spans="9:10">
      <c r="I345" s="70" t="s">
        <v>573</v>
      </c>
      <c r="J345" s="70">
        <v>0</v>
      </c>
    </row>
    <row r="346" spans="9:10">
      <c r="I346" s="70" t="s">
        <v>574</v>
      </c>
      <c r="J346" s="70">
        <v>0</v>
      </c>
    </row>
    <row r="347" spans="9:10">
      <c r="I347" s="70" t="s">
        <v>575</v>
      </c>
      <c r="J347" s="70">
        <v>0</v>
      </c>
    </row>
    <row r="348" spans="9:10">
      <c r="I348" s="70" t="s">
        <v>576</v>
      </c>
      <c r="J348" s="70">
        <v>0</v>
      </c>
    </row>
    <row r="349" spans="9:10">
      <c r="I349" s="70" t="s">
        <v>577</v>
      </c>
      <c r="J349" s="70">
        <v>0</v>
      </c>
    </row>
    <row r="350" spans="9:10">
      <c r="I350" s="70" t="s">
        <v>578</v>
      </c>
      <c r="J350" s="70">
        <v>0</v>
      </c>
    </row>
    <row r="351" spans="9:10">
      <c r="I351" s="70" t="s">
        <v>579</v>
      </c>
      <c r="J351" s="70">
        <v>0</v>
      </c>
    </row>
    <row r="352" spans="9:10">
      <c r="I352" s="70" t="s">
        <v>580</v>
      </c>
      <c r="J352" s="70">
        <v>0</v>
      </c>
    </row>
    <row r="353" spans="9:10">
      <c r="I353" s="70" t="s">
        <v>581</v>
      </c>
      <c r="J353" s="70">
        <v>0</v>
      </c>
    </row>
    <row r="354" spans="9:10">
      <c r="I354" s="70" t="s">
        <v>582</v>
      </c>
      <c r="J354" s="70">
        <v>0</v>
      </c>
    </row>
    <row r="355" spans="9:10">
      <c r="I355" s="70" t="s">
        <v>583</v>
      </c>
      <c r="J355" s="70">
        <v>0</v>
      </c>
    </row>
    <row r="356" spans="9:10">
      <c r="I356" s="70" t="s">
        <v>584</v>
      </c>
      <c r="J356" s="70">
        <v>0</v>
      </c>
    </row>
    <row r="357" spans="9:10">
      <c r="I357" s="70" t="s">
        <v>585</v>
      </c>
      <c r="J357" s="70">
        <v>0</v>
      </c>
    </row>
    <row r="358" spans="9:10">
      <c r="I358" s="70" t="s">
        <v>586</v>
      </c>
      <c r="J358" s="70">
        <v>0</v>
      </c>
    </row>
    <row r="359" spans="9:10">
      <c r="I359" s="70" t="s">
        <v>587</v>
      </c>
      <c r="J359" s="70">
        <v>0</v>
      </c>
    </row>
    <row r="360" spans="9:10">
      <c r="I360" s="70" t="s">
        <v>588</v>
      </c>
      <c r="J360" s="70">
        <v>0</v>
      </c>
    </row>
    <row r="361" spans="9:10">
      <c r="I361" s="70" t="s">
        <v>589</v>
      </c>
      <c r="J361" s="70">
        <v>0</v>
      </c>
    </row>
    <row r="362" spans="9:10">
      <c r="I362" s="70" t="s">
        <v>590</v>
      </c>
      <c r="J362" s="70">
        <v>0</v>
      </c>
    </row>
    <row r="363" spans="9:10">
      <c r="I363" s="70" t="s">
        <v>591</v>
      </c>
      <c r="J363" s="70">
        <v>0</v>
      </c>
    </row>
    <row r="364" spans="9:10">
      <c r="I364" s="70" t="s">
        <v>592</v>
      </c>
      <c r="J364" s="70">
        <v>0</v>
      </c>
    </row>
    <row r="365" spans="9:10">
      <c r="I365" s="70" t="s">
        <v>593</v>
      </c>
      <c r="J365" s="70">
        <v>0</v>
      </c>
    </row>
    <row r="366" spans="9:10">
      <c r="I366" s="70" t="s">
        <v>594</v>
      </c>
      <c r="J366" s="70">
        <v>0</v>
      </c>
    </row>
    <row r="367" spans="9:10">
      <c r="I367" s="70" t="s">
        <v>595</v>
      </c>
      <c r="J367" s="70">
        <v>0</v>
      </c>
    </row>
    <row r="368" spans="9:10">
      <c r="I368" s="70" t="s">
        <v>596</v>
      </c>
      <c r="J368" s="70">
        <v>0</v>
      </c>
    </row>
    <row r="369" spans="9:10">
      <c r="I369" s="70" t="s">
        <v>597</v>
      </c>
      <c r="J369" s="70">
        <v>0</v>
      </c>
    </row>
    <row r="370" spans="9:10">
      <c r="I370" s="70" t="s">
        <v>598</v>
      </c>
      <c r="J370" s="70">
        <v>0</v>
      </c>
    </row>
    <row r="371" spans="9:10">
      <c r="I371" s="70" t="s">
        <v>599</v>
      </c>
      <c r="J371" s="70">
        <v>0</v>
      </c>
    </row>
    <row r="372" spans="9:10">
      <c r="I372" s="70" t="s">
        <v>600</v>
      </c>
      <c r="J372" s="70">
        <v>0</v>
      </c>
    </row>
    <row r="373" spans="9:10">
      <c r="I373" s="70" t="s">
        <v>601</v>
      </c>
      <c r="J373" s="70">
        <v>0</v>
      </c>
    </row>
    <row r="374" spans="9:10">
      <c r="I374" s="70" t="s">
        <v>602</v>
      </c>
      <c r="J374" s="70">
        <v>0</v>
      </c>
    </row>
    <row r="375" spans="9:10">
      <c r="I375" s="70" t="s">
        <v>603</v>
      </c>
      <c r="J375" s="70">
        <v>0</v>
      </c>
    </row>
    <row r="376" spans="9:10">
      <c r="I376" s="70" t="s">
        <v>604</v>
      </c>
      <c r="J376" s="70">
        <v>0</v>
      </c>
    </row>
    <row r="377" spans="9:10">
      <c r="I377" s="70" t="s">
        <v>605</v>
      </c>
      <c r="J377" s="70">
        <v>0</v>
      </c>
    </row>
    <row r="378" spans="9:10">
      <c r="I378" s="70" t="s">
        <v>606</v>
      </c>
      <c r="J378" s="70">
        <v>0</v>
      </c>
    </row>
    <row r="379" spans="9:10">
      <c r="I379" s="70" t="s">
        <v>607</v>
      </c>
      <c r="J379" s="70">
        <v>0</v>
      </c>
    </row>
    <row r="380" spans="9:10">
      <c r="I380" s="70" t="s">
        <v>608</v>
      </c>
      <c r="J380" s="70">
        <v>0</v>
      </c>
    </row>
    <row r="381" spans="9:10">
      <c r="I381" s="70" t="s">
        <v>609</v>
      </c>
      <c r="J381" s="70">
        <v>0</v>
      </c>
    </row>
    <row r="382" spans="9:10">
      <c r="I382" s="70" t="s">
        <v>610</v>
      </c>
      <c r="J382" s="70">
        <v>0</v>
      </c>
    </row>
    <row r="383" spans="9:10">
      <c r="I383" s="70" t="s">
        <v>611</v>
      </c>
      <c r="J383" s="70">
        <v>0</v>
      </c>
    </row>
    <row r="384" spans="9:10">
      <c r="I384" s="70" t="s">
        <v>612</v>
      </c>
      <c r="J384" s="70">
        <v>0</v>
      </c>
    </row>
    <row r="385" spans="9:10">
      <c r="I385" s="70" t="s">
        <v>613</v>
      </c>
      <c r="J385" s="70">
        <v>0</v>
      </c>
    </row>
    <row r="386" spans="9:10">
      <c r="I386" s="70" t="s">
        <v>614</v>
      </c>
      <c r="J386" s="70">
        <v>0</v>
      </c>
    </row>
    <row r="387" spans="9:10">
      <c r="I387" s="70" t="s">
        <v>615</v>
      </c>
      <c r="J387" s="70">
        <v>0</v>
      </c>
    </row>
    <row r="388" spans="9:10">
      <c r="I388" s="70" t="s">
        <v>616</v>
      </c>
      <c r="J388" s="70">
        <v>0</v>
      </c>
    </row>
    <row r="389" spans="9:10">
      <c r="I389" s="70" t="s">
        <v>617</v>
      </c>
      <c r="J389" s="70">
        <v>0</v>
      </c>
    </row>
    <row r="390" spans="9:10">
      <c r="I390" s="70" t="s">
        <v>618</v>
      </c>
      <c r="J390" s="70">
        <v>0</v>
      </c>
    </row>
    <row r="391" spans="9:10">
      <c r="I391" s="70" t="s">
        <v>619</v>
      </c>
      <c r="J391" s="70">
        <v>0</v>
      </c>
    </row>
    <row r="392" spans="9:10">
      <c r="I392" s="70" t="s">
        <v>620</v>
      </c>
      <c r="J392" s="70">
        <v>0</v>
      </c>
    </row>
    <row r="393" spans="9:10">
      <c r="I393" s="70" t="s">
        <v>621</v>
      </c>
      <c r="J393" s="70">
        <v>0</v>
      </c>
    </row>
    <row r="394" spans="9:10">
      <c r="I394" s="70" t="s">
        <v>622</v>
      </c>
      <c r="J394" s="70">
        <v>0</v>
      </c>
    </row>
    <row r="395" spans="9:10">
      <c r="I395" s="70" t="s">
        <v>623</v>
      </c>
      <c r="J395" s="70">
        <v>0</v>
      </c>
    </row>
    <row r="396" spans="9:10">
      <c r="I396" s="70" t="s">
        <v>624</v>
      </c>
      <c r="J396" s="70">
        <v>0</v>
      </c>
    </row>
    <row r="397" spans="9:10">
      <c r="I397" s="70" t="s">
        <v>625</v>
      </c>
      <c r="J397" s="70">
        <v>0</v>
      </c>
    </row>
    <row r="398" spans="9:10">
      <c r="I398" s="70" t="s">
        <v>626</v>
      </c>
      <c r="J398" s="70">
        <v>0</v>
      </c>
    </row>
    <row r="399" spans="9:10">
      <c r="I399" s="70" t="s">
        <v>627</v>
      </c>
      <c r="J399" s="70">
        <v>0</v>
      </c>
    </row>
    <row r="400" spans="9:10">
      <c r="I400" s="70" t="s">
        <v>628</v>
      </c>
      <c r="J400" s="70">
        <v>0</v>
      </c>
    </row>
    <row r="401" spans="9:10">
      <c r="I401" s="70" t="s">
        <v>629</v>
      </c>
      <c r="J401" s="70">
        <v>0</v>
      </c>
    </row>
    <row r="402" spans="9:10">
      <c r="I402" s="70" t="s">
        <v>630</v>
      </c>
      <c r="J402" s="70">
        <v>0</v>
      </c>
    </row>
    <row r="403" spans="9:10">
      <c r="I403" s="70" t="s">
        <v>631</v>
      </c>
      <c r="J403" s="70">
        <v>0</v>
      </c>
    </row>
    <row r="404" spans="9:10">
      <c r="I404" s="70" t="s">
        <v>632</v>
      </c>
      <c r="J404" s="70">
        <v>0</v>
      </c>
    </row>
    <row r="405" spans="9:10">
      <c r="I405" s="70" t="s">
        <v>633</v>
      </c>
      <c r="J405" s="70">
        <v>0</v>
      </c>
    </row>
    <row r="406" spans="9:10">
      <c r="I406" s="70" t="s">
        <v>634</v>
      </c>
      <c r="J406" s="70">
        <v>0</v>
      </c>
    </row>
    <row r="407" spans="9:10">
      <c r="I407" s="70" t="s">
        <v>635</v>
      </c>
      <c r="J407" s="70">
        <v>0</v>
      </c>
    </row>
    <row r="408" spans="9:10">
      <c r="I408" s="70" t="s">
        <v>636</v>
      </c>
      <c r="J408" s="70">
        <v>0</v>
      </c>
    </row>
    <row r="409" spans="9:10">
      <c r="I409" s="70" t="s">
        <v>637</v>
      </c>
      <c r="J409" s="70">
        <v>0</v>
      </c>
    </row>
    <row r="410" spans="9:10">
      <c r="I410" s="70" t="s">
        <v>638</v>
      </c>
      <c r="J410" s="70">
        <v>0</v>
      </c>
    </row>
    <row r="411" spans="9:10">
      <c r="I411" s="70" t="s">
        <v>639</v>
      </c>
      <c r="J411" s="70">
        <v>0</v>
      </c>
    </row>
    <row r="412" spans="9:10">
      <c r="I412" s="70" t="s">
        <v>640</v>
      </c>
      <c r="J412" s="70">
        <v>0</v>
      </c>
    </row>
    <row r="413" spans="9:10">
      <c r="I413" s="70" t="s">
        <v>641</v>
      </c>
      <c r="J413" s="70">
        <v>0</v>
      </c>
    </row>
    <row r="414" spans="9:10">
      <c r="I414" s="70" t="s">
        <v>642</v>
      </c>
      <c r="J414" s="70">
        <v>0</v>
      </c>
    </row>
    <row r="415" spans="9:10">
      <c r="I415" s="70" t="s">
        <v>643</v>
      </c>
      <c r="J415" s="70">
        <v>0</v>
      </c>
    </row>
    <row r="416" spans="9:10">
      <c r="I416" s="70" t="s">
        <v>644</v>
      </c>
      <c r="J416" s="70">
        <v>0</v>
      </c>
    </row>
    <row r="417" spans="9:10">
      <c r="I417" s="70" t="s">
        <v>645</v>
      </c>
      <c r="J417" s="70">
        <v>0</v>
      </c>
    </row>
    <row r="418" spans="9:10">
      <c r="I418" s="70" t="s">
        <v>646</v>
      </c>
      <c r="J418" s="70">
        <v>0</v>
      </c>
    </row>
    <row r="419" spans="9:10">
      <c r="I419" s="70" t="s">
        <v>647</v>
      </c>
      <c r="J419" s="70">
        <v>0</v>
      </c>
    </row>
    <row r="420" spans="9:10">
      <c r="I420" s="70" t="s">
        <v>648</v>
      </c>
      <c r="J420" s="70">
        <v>0</v>
      </c>
    </row>
    <row r="421" spans="9:10">
      <c r="I421" s="70" t="s">
        <v>649</v>
      </c>
      <c r="J421" s="70">
        <v>0</v>
      </c>
    </row>
    <row r="422" spans="9:10">
      <c r="I422" s="70" t="s">
        <v>650</v>
      </c>
      <c r="J422" s="70">
        <v>0</v>
      </c>
    </row>
    <row r="423" spans="9:10">
      <c r="I423" s="70" t="s">
        <v>651</v>
      </c>
      <c r="J423" s="70">
        <v>0</v>
      </c>
    </row>
    <row r="424" spans="9:10">
      <c r="I424" s="70" t="s">
        <v>652</v>
      </c>
      <c r="J424" s="70">
        <v>0</v>
      </c>
    </row>
    <row r="425" spans="9:10">
      <c r="I425" s="70" t="s">
        <v>653</v>
      </c>
      <c r="J425" s="70">
        <v>0</v>
      </c>
    </row>
    <row r="426" spans="9:10">
      <c r="I426" s="70" t="s">
        <v>654</v>
      </c>
      <c r="J426" s="70">
        <v>0</v>
      </c>
    </row>
  </sheetData>
  <mergeCells count="2">
    <mergeCell ref="A26:C26"/>
    <mergeCell ref="A27:C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topLeftCell="A397" workbookViewId="0">
      <selection activeCell="A427" sqref="A427"/>
    </sheetView>
  </sheetViews>
  <sheetFormatPr baseColWidth="10" defaultColWidth="11.42578125" defaultRowHeight="15"/>
  <cols>
    <col min="1" max="1" width="125" customWidth="1"/>
  </cols>
  <sheetData>
    <row r="1" spans="1:1">
      <c r="A1" t="s">
        <v>180</v>
      </c>
    </row>
    <row r="2" spans="1:1">
      <c r="A2" t="s">
        <v>215</v>
      </c>
    </row>
    <row r="3" spans="1:1">
      <c r="A3" t="s">
        <v>218</v>
      </c>
    </row>
    <row r="4" spans="1:1">
      <c r="A4" t="s">
        <v>221</v>
      </c>
    </row>
    <row r="5" spans="1:1">
      <c r="A5" t="s">
        <v>222</v>
      </c>
    </row>
    <row r="6" spans="1:1">
      <c r="A6" t="s">
        <v>224</v>
      </c>
    </row>
    <row r="7" spans="1:1">
      <c r="A7" t="s">
        <v>225</v>
      </c>
    </row>
    <row r="8" spans="1:1">
      <c r="A8" t="s">
        <v>226</v>
      </c>
    </row>
    <row r="9" spans="1:1">
      <c r="A9" t="s">
        <v>227</v>
      </c>
    </row>
    <row r="10" spans="1:1">
      <c r="A10" t="s">
        <v>228</v>
      </c>
    </row>
    <row r="11" spans="1:1">
      <c r="A11" t="s">
        <v>229</v>
      </c>
    </row>
    <row r="12" spans="1:1">
      <c r="A12" t="s">
        <v>230</v>
      </c>
    </row>
    <row r="13" spans="1:1">
      <c r="A13" t="s">
        <v>231</v>
      </c>
    </row>
    <row r="14" spans="1:1">
      <c r="A14" t="s">
        <v>232</v>
      </c>
    </row>
    <row r="15" spans="1:1">
      <c r="A15" t="s">
        <v>236</v>
      </c>
    </row>
    <row r="16" spans="1:1">
      <c r="A16" t="s">
        <v>239</v>
      </c>
    </row>
    <row r="17" spans="1:1">
      <c r="A17" t="s">
        <v>240</v>
      </c>
    </row>
    <row r="18" spans="1:1">
      <c r="A18" t="s">
        <v>241</v>
      </c>
    </row>
    <row r="19" spans="1:1">
      <c r="A19" t="s">
        <v>242</v>
      </c>
    </row>
    <row r="20" spans="1:1">
      <c r="A20" t="s">
        <v>655</v>
      </c>
    </row>
    <row r="21" spans="1:1">
      <c r="A21" t="s">
        <v>243</v>
      </c>
    </row>
    <row r="22" spans="1:1">
      <c r="A22" t="s">
        <v>244</v>
      </c>
    </row>
    <row r="23" spans="1:1">
      <c r="A23" t="s">
        <v>246</v>
      </c>
    </row>
    <row r="24" spans="1:1">
      <c r="A24" t="s">
        <v>247</v>
      </c>
    </row>
    <row r="25" spans="1:1">
      <c r="A25" t="s">
        <v>249</v>
      </c>
    </row>
    <row r="26" spans="1:1">
      <c r="A26" t="s">
        <v>250</v>
      </c>
    </row>
    <row r="27" spans="1:1">
      <c r="A27" t="s">
        <v>252</v>
      </c>
    </row>
    <row r="28" spans="1:1">
      <c r="A28" t="s">
        <v>253</v>
      </c>
    </row>
    <row r="29" spans="1:1">
      <c r="A29" t="s">
        <v>254</v>
      </c>
    </row>
    <row r="30" spans="1:1">
      <c r="A30" t="s">
        <v>255</v>
      </c>
    </row>
    <row r="31" spans="1:1">
      <c r="A31" t="s">
        <v>256</v>
      </c>
    </row>
    <row r="32" spans="1:1">
      <c r="A32" t="s">
        <v>258</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row r="42" spans="1:1">
      <c r="A42" t="s">
        <v>270</v>
      </c>
    </row>
    <row r="43" spans="1:1">
      <c r="A43" t="s">
        <v>271</v>
      </c>
    </row>
    <row r="44" spans="1:1">
      <c r="A44" t="s">
        <v>272</v>
      </c>
    </row>
    <row r="45" spans="1:1">
      <c r="A45" t="s">
        <v>273</v>
      </c>
    </row>
    <row r="46" spans="1:1">
      <c r="A46" t="s">
        <v>274</v>
      </c>
    </row>
    <row r="47" spans="1:1">
      <c r="A47" t="s">
        <v>275</v>
      </c>
    </row>
    <row r="48" spans="1:1">
      <c r="A48" t="s">
        <v>276</v>
      </c>
    </row>
    <row r="49" spans="1:1">
      <c r="A49" t="s">
        <v>277</v>
      </c>
    </row>
    <row r="50" spans="1:1">
      <c r="A50" t="s">
        <v>278</v>
      </c>
    </row>
    <row r="51" spans="1:1">
      <c r="A51" t="s">
        <v>279</v>
      </c>
    </row>
    <row r="52" spans="1:1">
      <c r="A52" t="s">
        <v>280</v>
      </c>
    </row>
    <row r="53" spans="1:1">
      <c r="A53" t="s">
        <v>281</v>
      </c>
    </row>
    <row r="54" spans="1:1">
      <c r="A54" t="s">
        <v>282</v>
      </c>
    </row>
    <row r="55" spans="1:1">
      <c r="A55" t="s">
        <v>283</v>
      </c>
    </row>
    <row r="56" spans="1:1">
      <c r="A56" t="s">
        <v>284</v>
      </c>
    </row>
    <row r="57" spans="1:1">
      <c r="A57" t="s">
        <v>285</v>
      </c>
    </row>
    <row r="58" spans="1:1">
      <c r="A58" t="s">
        <v>286</v>
      </c>
    </row>
    <row r="59" spans="1:1">
      <c r="A59" t="s">
        <v>287</v>
      </c>
    </row>
    <row r="60" spans="1:1">
      <c r="A60" t="s">
        <v>288</v>
      </c>
    </row>
    <row r="61" spans="1:1">
      <c r="A61" t="s">
        <v>289</v>
      </c>
    </row>
    <row r="62" spans="1:1">
      <c r="A62" t="s">
        <v>290</v>
      </c>
    </row>
    <row r="63" spans="1:1">
      <c r="A63" t="s">
        <v>291</v>
      </c>
    </row>
    <row r="64" spans="1:1">
      <c r="A64" t="s">
        <v>292</v>
      </c>
    </row>
    <row r="65" spans="1:1">
      <c r="A65" t="s">
        <v>293</v>
      </c>
    </row>
    <row r="66" spans="1:1">
      <c r="A66" t="s">
        <v>294</v>
      </c>
    </row>
    <row r="67" spans="1:1">
      <c r="A67" t="s">
        <v>295</v>
      </c>
    </row>
    <row r="68" spans="1:1">
      <c r="A68" t="s">
        <v>296</v>
      </c>
    </row>
    <row r="69" spans="1:1">
      <c r="A69" t="s">
        <v>297</v>
      </c>
    </row>
    <row r="70" spans="1:1">
      <c r="A70" t="s">
        <v>298</v>
      </c>
    </row>
    <row r="71" spans="1:1">
      <c r="A71" t="s">
        <v>299</v>
      </c>
    </row>
    <row r="72" spans="1:1">
      <c r="A72" t="s">
        <v>300</v>
      </c>
    </row>
    <row r="73" spans="1:1">
      <c r="A73" t="s">
        <v>301</v>
      </c>
    </row>
    <row r="74" spans="1:1">
      <c r="A74" t="s">
        <v>302</v>
      </c>
    </row>
    <row r="75" spans="1:1">
      <c r="A75" t="s">
        <v>303</v>
      </c>
    </row>
    <row r="76" spans="1:1">
      <c r="A76" t="s">
        <v>304</v>
      </c>
    </row>
    <row r="77" spans="1:1">
      <c r="A77" t="s">
        <v>305</v>
      </c>
    </row>
    <row r="78" spans="1:1">
      <c r="A78" t="s">
        <v>306</v>
      </c>
    </row>
    <row r="79" spans="1:1">
      <c r="A79" t="s">
        <v>307</v>
      </c>
    </row>
    <row r="80" spans="1:1">
      <c r="A80" t="s">
        <v>308</v>
      </c>
    </row>
    <row r="81" spans="1:1">
      <c r="A81" t="s">
        <v>309</v>
      </c>
    </row>
    <row r="82" spans="1:1">
      <c r="A82" t="s">
        <v>310</v>
      </c>
    </row>
    <row r="83" spans="1:1">
      <c r="A83" t="s">
        <v>311</v>
      </c>
    </row>
    <row r="84" spans="1:1">
      <c r="A84" t="s">
        <v>312</v>
      </c>
    </row>
    <row r="85" spans="1:1">
      <c r="A85" t="s">
        <v>313</v>
      </c>
    </row>
    <row r="86" spans="1:1">
      <c r="A86" t="s">
        <v>314</v>
      </c>
    </row>
    <row r="87" spans="1:1">
      <c r="A87" t="s">
        <v>315</v>
      </c>
    </row>
    <row r="88" spans="1:1">
      <c r="A88" t="s">
        <v>316</v>
      </c>
    </row>
    <row r="89" spans="1:1">
      <c r="A89" t="s">
        <v>317</v>
      </c>
    </row>
    <row r="90" spans="1:1">
      <c r="A90" t="s">
        <v>318</v>
      </c>
    </row>
    <row r="91" spans="1:1">
      <c r="A91" t="s">
        <v>319</v>
      </c>
    </row>
    <row r="92" spans="1:1">
      <c r="A92" t="s">
        <v>320</v>
      </c>
    </row>
    <row r="93" spans="1:1">
      <c r="A93" t="s">
        <v>321</v>
      </c>
    </row>
    <row r="94" spans="1:1">
      <c r="A94" t="s">
        <v>322</v>
      </c>
    </row>
    <row r="95" spans="1:1">
      <c r="A95" t="s">
        <v>323</v>
      </c>
    </row>
    <row r="96" spans="1:1">
      <c r="A96" t="s">
        <v>324</v>
      </c>
    </row>
    <row r="97" spans="1:1">
      <c r="A97" t="s">
        <v>325</v>
      </c>
    </row>
    <row r="98" spans="1:1">
      <c r="A98" t="s">
        <v>326</v>
      </c>
    </row>
    <row r="99" spans="1:1">
      <c r="A99" t="s">
        <v>327</v>
      </c>
    </row>
    <row r="100" spans="1:1">
      <c r="A100" t="s">
        <v>328</v>
      </c>
    </row>
    <row r="101" spans="1:1">
      <c r="A101" t="s">
        <v>329</v>
      </c>
    </row>
    <row r="102" spans="1:1">
      <c r="A102" t="s">
        <v>330</v>
      </c>
    </row>
    <row r="103" spans="1:1">
      <c r="A103" t="s">
        <v>331</v>
      </c>
    </row>
    <row r="104" spans="1:1">
      <c r="A104" t="s">
        <v>332</v>
      </c>
    </row>
    <row r="105" spans="1:1">
      <c r="A105" t="s">
        <v>333</v>
      </c>
    </row>
    <row r="106" spans="1:1">
      <c r="A106" t="s">
        <v>334</v>
      </c>
    </row>
    <row r="107" spans="1:1">
      <c r="A107" t="s">
        <v>335</v>
      </c>
    </row>
    <row r="108" spans="1:1">
      <c r="A108" t="s">
        <v>336</v>
      </c>
    </row>
    <row r="109" spans="1:1">
      <c r="A109" t="s">
        <v>337</v>
      </c>
    </row>
    <row r="110" spans="1:1">
      <c r="A110" t="s">
        <v>338</v>
      </c>
    </row>
    <row r="111" spans="1:1">
      <c r="A111" t="s">
        <v>568</v>
      </c>
    </row>
    <row r="112" spans="1:1">
      <c r="A112" t="s">
        <v>569</v>
      </c>
    </row>
    <row r="113" spans="1:1">
      <c r="A113" t="s">
        <v>570</v>
      </c>
    </row>
    <row r="114" spans="1:1">
      <c r="A114" t="s">
        <v>571</v>
      </c>
    </row>
    <row r="115" spans="1:1">
      <c r="A115" t="s">
        <v>572</v>
      </c>
    </row>
    <row r="116" spans="1:1">
      <c r="A116" t="s">
        <v>573</v>
      </c>
    </row>
    <row r="117" spans="1:1">
      <c r="A117" t="s">
        <v>574</v>
      </c>
    </row>
    <row r="118" spans="1:1">
      <c r="A118" t="s">
        <v>575</v>
      </c>
    </row>
    <row r="119" spans="1:1">
      <c r="A119" t="s">
        <v>576</v>
      </c>
    </row>
    <row r="120" spans="1:1">
      <c r="A120" t="s">
        <v>577</v>
      </c>
    </row>
    <row r="121" spans="1:1">
      <c r="A121" t="s">
        <v>578</v>
      </c>
    </row>
    <row r="122" spans="1:1">
      <c r="A122" t="s">
        <v>579</v>
      </c>
    </row>
    <row r="123" spans="1:1">
      <c r="A123" t="s">
        <v>580</v>
      </c>
    </row>
    <row r="124" spans="1:1">
      <c r="A124" t="s">
        <v>581</v>
      </c>
    </row>
    <row r="125" spans="1:1">
      <c r="A125" t="s">
        <v>582</v>
      </c>
    </row>
    <row r="126" spans="1:1">
      <c r="A126" t="s">
        <v>583</v>
      </c>
    </row>
    <row r="127" spans="1:1">
      <c r="A127" t="s">
        <v>584</v>
      </c>
    </row>
    <row r="128" spans="1:1">
      <c r="A128" t="s">
        <v>585</v>
      </c>
    </row>
    <row r="129" spans="1:1">
      <c r="A129" t="s">
        <v>586</v>
      </c>
    </row>
    <row r="130" spans="1:1">
      <c r="A130" t="s">
        <v>587</v>
      </c>
    </row>
    <row r="131" spans="1:1">
      <c r="A131" t="s">
        <v>588</v>
      </c>
    </row>
    <row r="132" spans="1:1">
      <c r="A132" t="s">
        <v>589</v>
      </c>
    </row>
    <row r="133" spans="1:1">
      <c r="A133" t="s">
        <v>590</v>
      </c>
    </row>
    <row r="134" spans="1:1">
      <c r="A134" t="s">
        <v>591</v>
      </c>
    </row>
    <row r="135" spans="1:1">
      <c r="A135" t="s">
        <v>592</v>
      </c>
    </row>
    <row r="136" spans="1:1">
      <c r="A136" t="s">
        <v>593</v>
      </c>
    </row>
    <row r="137" spans="1:1">
      <c r="A137" t="s">
        <v>594</v>
      </c>
    </row>
    <row r="138" spans="1:1">
      <c r="A138" t="s">
        <v>595</v>
      </c>
    </row>
    <row r="139" spans="1:1">
      <c r="A139" t="s">
        <v>596</v>
      </c>
    </row>
    <row r="140" spans="1:1">
      <c r="A140" t="s">
        <v>597</v>
      </c>
    </row>
    <row r="141" spans="1:1">
      <c r="A141" t="s">
        <v>598</v>
      </c>
    </row>
    <row r="142" spans="1:1">
      <c r="A142" t="s">
        <v>599</v>
      </c>
    </row>
    <row r="143" spans="1:1">
      <c r="A143" t="s">
        <v>600</v>
      </c>
    </row>
    <row r="144" spans="1:1">
      <c r="A144" t="s">
        <v>601</v>
      </c>
    </row>
    <row r="145" spans="1:1">
      <c r="A145" t="s">
        <v>602</v>
      </c>
    </row>
    <row r="146" spans="1:1">
      <c r="A146" t="s">
        <v>603</v>
      </c>
    </row>
    <row r="147" spans="1:1">
      <c r="A147" t="s">
        <v>604</v>
      </c>
    </row>
    <row r="148" spans="1:1">
      <c r="A148" t="s">
        <v>605</v>
      </c>
    </row>
    <row r="149" spans="1:1">
      <c r="A149" t="s">
        <v>606</v>
      </c>
    </row>
    <row r="150" spans="1:1">
      <c r="A150" t="s">
        <v>339</v>
      </c>
    </row>
    <row r="151" spans="1:1">
      <c r="A151" t="s">
        <v>340</v>
      </c>
    </row>
    <row r="152" spans="1:1">
      <c r="A152" t="s">
        <v>341</v>
      </c>
    </row>
    <row r="153" spans="1:1">
      <c r="A153" t="s">
        <v>607</v>
      </c>
    </row>
    <row r="154" spans="1:1">
      <c r="A154" t="s">
        <v>608</v>
      </c>
    </row>
    <row r="155" spans="1:1">
      <c r="A155" t="s">
        <v>609</v>
      </c>
    </row>
    <row r="156" spans="1:1">
      <c r="A156" t="s">
        <v>610</v>
      </c>
    </row>
    <row r="157" spans="1:1">
      <c r="A157" t="s">
        <v>611</v>
      </c>
    </row>
    <row r="158" spans="1:1">
      <c r="A158" t="s">
        <v>612</v>
      </c>
    </row>
    <row r="159" spans="1:1">
      <c r="A159" t="s">
        <v>613</v>
      </c>
    </row>
    <row r="160" spans="1:1">
      <c r="A160" t="s">
        <v>614</v>
      </c>
    </row>
    <row r="161" spans="1:1">
      <c r="A161" t="s">
        <v>615</v>
      </c>
    </row>
    <row r="162" spans="1:1">
      <c r="A162" t="s">
        <v>616</v>
      </c>
    </row>
    <row r="163" spans="1:1">
      <c r="A163" t="s">
        <v>617</v>
      </c>
    </row>
    <row r="164" spans="1:1">
      <c r="A164" t="s">
        <v>618</v>
      </c>
    </row>
    <row r="165" spans="1:1">
      <c r="A165" t="s">
        <v>619</v>
      </c>
    </row>
    <row r="166" spans="1:1">
      <c r="A166" t="s">
        <v>620</v>
      </c>
    </row>
    <row r="167" spans="1:1">
      <c r="A167" t="s">
        <v>621</v>
      </c>
    </row>
    <row r="168" spans="1:1">
      <c r="A168" t="s">
        <v>622</v>
      </c>
    </row>
    <row r="169" spans="1:1">
      <c r="A169" t="s">
        <v>623</v>
      </c>
    </row>
    <row r="170" spans="1:1">
      <c r="A170" t="s">
        <v>624</v>
      </c>
    </row>
    <row r="171" spans="1:1">
      <c r="A171" t="s">
        <v>625</v>
      </c>
    </row>
    <row r="172" spans="1:1">
      <c r="A172" t="s">
        <v>626</v>
      </c>
    </row>
    <row r="173" spans="1:1">
      <c r="A173" t="s">
        <v>627</v>
      </c>
    </row>
    <row r="174" spans="1:1">
      <c r="A174" t="s">
        <v>628</v>
      </c>
    </row>
    <row r="175" spans="1:1">
      <c r="A175" t="s">
        <v>342</v>
      </c>
    </row>
    <row r="176" spans="1:1">
      <c r="A176" t="s">
        <v>343</v>
      </c>
    </row>
    <row r="177" spans="1:1">
      <c r="A177" t="s">
        <v>344</v>
      </c>
    </row>
    <row r="178" spans="1:1">
      <c r="A178" t="s">
        <v>345</v>
      </c>
    </row>
    <row r="179" spans="1:1">
      <c r="A179" t="s">
        <v>346</v>
      </c>
    </row>
    <row r="180" spans="1:1">
      <c r="A180" t="s">
        <v>347</v>
      </c>
    </row>
    <row r="181" spans="1:1">
      <c r="A181" t="s">
        <v>348</v>
      </c>
    </row>
    <row r="182" spans="1:1">
      <c r="A182" t="s">
        <v>349</v>
      </c>
    </row>
    <row r="183" spans="1:1">
      <c r="A183" t="s">
        <v>350</v>
      </c>
    </row>
    <row r="184" spans="1:1">
      <c r="A184" t="s">
        <v>351</v>
      </c>
    </row>
    <row r="185" spans="1:1">
      <c r="A185" t="s">
        <v>352</v>
      </c>
    </row>
    <row r="186" spans="1:1">
      <c r="A186" t="s">
        <v>353</v>
      </c>
    </row>
    <row r="187" spans="1:1">
      <c r="A187" t="s">
        <v>354</v>
      </c>
    </row>
    <row r="188" spans="1:1">
      <c r="A188" t="s">
        <v>355</v>
      </c>
    </row>
    <row r="189" spans="1:1">
      <c r="A189" t="s">
        <v>356</v>
      </c>
    </row>
    <row r="190" spans="1:1">
      <c r="A190" t="s">
        <v>357</v>
      </c>
    </row>
    <row r="191" spans="1:1">
      <c r="A191" t="s">
        <v>358</v>
      </c>
    </row>
    <row r="192" spans="1:1">
      <c r="A192" t="s">
        <v>359</v>
      </c>
    </row>
    <row r="193" spans="1:1">
      <c r="A193" t="s">
        <v>360</v>
      </c>
    </row>
    <row r="194" spans="1:1">
      <c r="A194" t="s">
        <v>361</v>
      </c>
    </row>
    <row r="195" spans="1:1">
      <c r="A195" t="s">
        <v>362</v>
      </c>
    </row>
    <row r="196" spans="1:1">
      <c r="A196" t="s">
        <v>363</v>
      </c>
    </row>
    <row r="197" spans="1:1">
      <c r="A197" t="s">
        <v>364</v>
      </c>
    </row>
    <row r="198" spans="1:1">
      <c r="A198" t="s">
        <v>365</v>
      </c>
    </row>
    <row r="199" spans="1:1">
      <c r="A199" t="s">
        <v>366</v>
      </c>
    </row>
    <row r="200" spans="1:1">
      <c r="A200" t="s">
        <v>367</v>
      </c>
    </row>
    <row r="201" spans="1:1">
      <c r="A201" t="s">
        <v>368</v>
      </c>
    </row>
    <row r="202" spans="1:1">
      <c r="A202" t="s">
        <v>369</v>
      </c>
    </row>
    <row r="203" spans="1:1">
      <c r="A203" t="s">
        <v>370</v>
      </c>
    </row>
    <row r="204" spans="1:1">
      <c r="A204" t="s">
        <v>371</v>
      </c>
    </row>
    <row r="205" spans="1:1">
      <c r="A205" t="s">
        <v>372</v>
      </c>
    </row>
    <row r="206" spans="1:1">
      <c r="A206" t="s">
        <v>373</v>
      </c>
    </row>
    <row r="207" spans="1:1">
      <c r="A207" t="s">
        <v>374</v>
      </c>
    </row>
    <row r="208" spans="1:1">
      <c r="A208" t="s">
        <v>375</v>
      </c>
    </row>
    <row r="209" spans="1:1">
      <c r="A209" t="s">
        <v>376</v>
      </c>
    </row>
    <row r="210" spans="1:1">
      <c r="A210" t="s">
        <v>377</v>
      </c>
    </row>
    <row r="211" spans="1:1">
      <c r="A211" t="s">
        <v>378</v>
      </c>
    </row>
    <row r="212" spans="1:1">
      <c r="A212" t="s">
        <v>379</v>
      </c>
    </row>
    <row r="213" spans="1:1">
      <c r="A213" t="s">
        <v>380</v>
      </c>
    </row>
    <row r="214" spans="1:1">
      <c r="A214" t="s">
        <v>381</v>
      </c>
    </row>
    <row r="215" spans="1:1">
      <c r="A215" t="s">
        <v>382</v>
      </c>
    </row>
    <row r="216" spans="1:1">
      <c r="A216" t="s">
        <v>383</v>
      </c>
    </row>
    <row r="217" spans="1:1">
      <c r="A217" t="s">
        <v>384</v>
      </c>
    </row>
    <row r="218" spans="1:1">
      <c r="A218" t="s">
        <v>385</v>
      </c>
    </row>
    <row r="219" spans="1:1">
      <c r="A219" t="s">
        <v>386</v>
      </c>
    </row>
    <row r="220" spans="1:1">
      <c r="A220" t="s">
        <v>387</v>
      </c>
    </row>
    <row r="221" spans="1:1">
      <c r="A221" t="s">
        <v>388</v>
      </c>
    </row>
    <row r="222" spans="1:1">
      <c r="A222" t="s">
        <v>389</v>
      </c>
    </row>
    <row r="223" spans="1:1">
      <c r="A223" t="s">
        <v>390</v>
      </c>
    </row>
    <row r="224" spans="1:1">
      <c r="A224" t="s">
        <v>391</v>
      </c>
    </row>
    <row r="225" spans="1:1">
      <c r="A225" t="s">
        <v>392</v>
      </c>
    </row>
    <row r="226" spans="1:1">
      <c r="A226" t="s">
        <v>393</v>
      </c>
    </row>
    <row r="227" spans="1:1">
      <c r="A227" t="s">
        <v>394</v>
      </c>
    </row>
    <row r="228" spans="1:1">
      <c r="A228" t="s">
        <v>395</v>
      </c>
    </row>
    <row r="229" spans="1:1">
      <c r="A229" t="s">
        <v>396</v>
      </c>
    </row>
    <row r="230" spans="1:1">
      <c r="A230" t="s">
        <v>397</v>
      </c>
    </row>
    <row r="231" spans="1:1">
      <c r="A231" t="s">
        <v>398</v>
      </c>
    </row>
    <row r="232" spans="1:1">
      <c r="A232" t="s">
        <v>399</v>
      </c>
    </row>
    <row r="233" spans="1:1">
      <c r="A233" t="s">
        <v>400</v>
      </c>
    </row>
    <row r="234" spans="1:1">
      <c r="A234" t="s">
        <v>401</v>
      </c>
    </row>
    <row r="235" spans="1:1">
      <c r="A235" t="s">
        <v>402</v>
      </c>
    </row>
    <row r="236" spans="1:1">
      <c r="A236" t="s">
        <v>403</v>
      </c>
    </row>
    <row r="237" spans="1:1">
      <c r="A237" t="s">
        <v>404</v>
      </c>
    </row>
    <row r="238" spans="1:1">
      <c r="A238" t="s">
        <v>405</v>
      </c>
    </row>
    <row r="239" spans="1:1">
      <c r="A239" t="s">
        <v>406</v>
      </c>
    </row>
    <row r="240" spans="1:1">
      <c r="A240" t="s">
        <v>407</v>
      </c>
    </row>
    <row r="241" spans="1:1">
      <c r="A241" t="s">
        <v>408</v>
      </c>
    </row>
    <row r="242" spans="1:1">
      <c r="A242" t="s">
        <v>409</v>
      </c>
    </row>
    <row r="243" spans="1:1">
      <c r="A243" t="s">
        <v>410</v>
      </c>
    </row>
    <row r="244" spans="1:1">
      <c r="A244" t="s">
        <v>411</v>
      </c>
    </row>
    <row r="245" spans="1:1">
      <c r="A245" t="s">
        <v>412</v>
      </c>
    </row>
    <row r="246" spans="1:1">
      <c r="A246" t="s">
        <v>413</v>
      </c>
    </row>
    <row r="247" spans="1:1">
      <c r="A247" t="s">
        <v>414</v>
      </c>
    </row>
    <row r="248" spans="1:1">
      <c r="A248" t="s">
        <v>415</v>
      </c>
    </row>
    <row r="249" spans="1:1">
      <c r="A249" t="s">
        <v>416</v>
      </c>
    </row>
    <row r="250" spans="1:1">
      <c r="A250" t="s">
        <v>417</v>
      </c>
    </row>
    <row r="251" spans="1:1">
      <c r="A251" t="s">
        <v>418</v>
      </c>
    </row>
    <row r="252" spans="1:1">
      <c r="A252" t="s">
        <v>419</v>
      </c>
    </row>
    <row r="253" spans="1:1">
      <c r="A253" t="s">
        <v>420</v>
      </c>
    </row>
    <row r="254" spans="1:1">
      <c r="A254" t="s">
        <v>421</v>
      </c>
    </row>
    <row r="255" spans="1:1">
      <c r="A255" t="s">
        <v>422</v>
      </c>
    </row>
    <row r="256" spans="1:1">
      <c r="A256" t="s">
        <v>423</v>
      </c>
    </row>
    <row r="257" spans="1:1">
      <c r="A257" t="s">
        <v>424</v>
      </c>
    </row>
    <row r="258" spans="1:1">
      <c r="A258" t="s">
        <v>425</v>
      </c>
    </row>
    <row r="259" spans="1:1">
      <c r="A259" t="s">
        <v>426</v>
      </c>
    </row>
    <row r="260" spans="1:1">
      <c r="A260" t="s">
        <v>427</v>
      </c>
    </row>
    <row r="261" spans="1:1">
      <c r="A261" t="s">
        <v>428</v>
      </c>
    </row>
    <row r="262" spans="1:1">
      <c r="A262" t="s">
        <v>429</v>
      </c>
    </row>
    <row r="263" spans="1:1">
      <c r="A263" t="s">
        <v>430</v>
      </c>
    </row>
    <row r="264" spans="1:1">
      <c r="A264" t="s">
        <v>431</v>
      </c>
    </row>
    <row r="265" spans="1:1">
      <c r="A265" t="s">
        <v>432</v>
      </c>
    </row>
    <row r="266" spans="1:1">
      <c r="A266" t="s">
        <v>433</v>
      </c>
    </row>
    <row r="267" spans="1:1">
      <c r="A267" t="s">
        <v>434</v>
      </c>
    </row>
    <row r="268" spans="1:1">
      <c r="A268" t="s">
        <v>435</v>
      </c>
    </row>
    <row r="269" spans="1:1">
      <c r="A269" t="s">
        <v>436</v>
      </c>
    </row>
    <row r="270" spans="1:1">
      <c r="A270" t="s">
        <v>437</v>
      </c>
    </row>
    <row r="271" spans="1:1">
      <c r="A271" t="s">
        <v>438</v>
      </c>
    </row>
    <row r="272" spans="1:1">
      <c r="A272" t="s">
        <v>439</v>
      </c>
    </row>
    <row r="273" spans="1:1">
      <c r="A273" t="s">
        <v>440</v>
      </c>
    </row>
    <row r="274" spans="1:1">
      <c r="A274" t="s">
        <v>441</v>
      </c>
    </row>
    <row r="275" spans="1:1">
      <c r="A275" t="s">
        <v>442</v>
      </c>
    </row>
    <row r="276" spans="1:1">
      <c r="A276" t="s">
        <v>443</v>
      </c>
    </row>
    <row r="277" spans="1:1">
      <c r="A277" t="s">
        <v>444</v>
      </c>
    </row>
    <row r="278" spans="1:1">
      <c r="A278" t="s">
        <v>445</v>
      </c>
    </row>
    <row r="279" spans="1:1">
      <c r="A279" t="s">
        <v>446</v>
      </c>
    </row>
    <row r="280" spans="1:1">
      <c r="A280" t="s">
        <v>447</v>
      </c>
    </row>
    <row r="281" spans="1:1">
      <c r="A281" t="s">
        <v>448</v>
      </c>
    </row>
    <row r="282" spans="1:1">
      <c r="A282" t="s">
        <v>449</v>
      </c>
    </row>
    <row r="283" spans="1:1">
      <c r="A283" t="s">
        <v>450</v>
      </c>
    </row>
    <row r="284" spans="1:1">
      <c r="A284" t="s">
        <v>451</v>
      </c>
    </row>
    <row r="285" spans="1:1">
      <c r="A285" t="s">
        <v>452</v>
      </c>
    </row>
    <row r="286" spans="1:1">
      <c r="A286" t="s">
        <v>453</v>
      </c>
    </row>
    <row r="287" spans="1:1">
      <c r="A287" t="s">
        <v>454</v>
      </c>
    </row>
    <row r="288" spans="1:1">
      <c r="A288" t="s">
        <v>455</v>
      </c>
    </row>
    <row r="289" spans="1:1">
      <c r="A289" t="s">
        <v>456</v>
      </c>
    </row>
    <row r="290" spans="1:1">
      <c r="A290" t="s">
        <v>457</v>
      </c>
    </row>
    <row r="291" spans="1:1">
      <c r="A291" t="s">
        <v>458</v>
      </c>
    </row>
    <row r="292" spans="1:1">
      <c r="A292" t="s">
        <v>459</v>
      </c>
    </row>
    <row r="293" spans="1:1">
      <c r="A293" t="s">
        <v>460</v>
      </c>
    </row>
    <row r="294" spans="1:1">
      <c r="A294" t="s">
        <v>461</v>
      </c>
    </row>
    <row r="295" spans="1:1">
      <c r="A295" t="s">
        <v>462</v>
      </c>
    </row>
    <row r="296" spans="1:1">
      <c r="A296" t="s">
        <v>463</v>
      </c>
    </row>
    <row r="297" spans="1:1">
      <c r="A297" t="s">
        <v>464</v>
      </c>
    </row>
    <row r="298" spans="1:1">
      <c r="A298" t="s">
        <v>465</v>
      </c>
    </row>
    <row r="299" spans="1:1">
      <c r="A299" t="s">
        <v>466</v>
      </c>
    </row>
    <row r="300" spans="1:1">
      <c r="A300" t="s">
        <v>467</v>
      </c>
    </row>
    <row r="301" spans="1:1">
      <c r="A301" t="s">
        <v>468</v>
      </c>
    </row>
    <row r="302" spans="1:1">
      <c r="A302" t="s">
        <v>469</v>
      </c>
    </row>
    <row r="303" spans="1:1">
      <c r="A303" t="s">
        <v>470</v>
      </c>
    </row>
    <row r="304" spans="1:1">
      <c r="A304" t="s">
        <v>471</v>
      </c>
    </row>
    <row r="305" spans="1:1">
      <c r="A305" t="s">
        <v>472</v>
      </c>
    </row>
    <row r="306" spans="1:1">
      <c r="A306" t="s">
        <v>473</v>
      </c>
    </row>
    <row r="307" spans="1:1">
      <c r="A307" t="s">
        <v>474</v>
      </c>
    </row>
    <row r="308" spans="1:1">
      <c r="A308" t="s">
        <v>475</v>
      </c>
    </row>
    <row r="309" spans="1:1">
      <c r="A309" t="s">
        <v>476</v>
      </c>
    </row>
    <row r="310" spans="1:1">
      <c r="A310" t="s">
        <v>477</v>
      </c>
    </row>
    <row r="311" spans="1:1">
      <c r="A311" t="s">
        <v>478</v>
      </c>
    </row>
    <row r="312" spans="1:1">
      <c r="A312" t="s">
        <v>479</v>
      </c>
    </row>
    <row r="313" spans="1:1">
      <c r="A313" t="s">
        <v>480</v>
      </c>
    </row>
    <row r="314" spans="1:1">
      <c r="A314" t="s">
        <v>481</v>
      </c>
    </row>
    <row r="315" spans="1:1">
      <c r="A315" t="s">
        <v>482</v>
      </c>
    </row>
    <row r="316" spans="1:1">
      <c r="A316" t="s">
        <v>483</v>
      </c>
    </row>
    <row r="317" spans="1:1">
      <c r="A317" t="s">
        <v>484</v>
      </c>
    </row>
    <row r="318" spans="1:1">
      <c r="A318" t="s">
        <v>485</v>
      </c>
    </row>
    <row r="319" spans="1:1">
      <c r="A319" t="s">
        <v>486</v>
      </c>
    </row>
    <row r="320" spans="1:1">
      <c r="A320" t="s">
        <v>487</v>
      </c>
    </row>
    <row r="321" spans="1:1">
      <c r="A321" t="s">
        <v>488</v>
      </c>
    </row>
    <row r="322" spans="1:1">
      <c r="A322" t="s">
        <v>489</v>
      </c>
    </row>
    <row r="323" spans="1:1">
      <c r="A323" t="s">
        <v>490</v>
      </c>
    </row>
    <row r="324" spans="1:1">
      <c r="A324" t="s">
        <v>491</v>
      </c>
    </row>
    <row r="325" spans="1:1">
      <c r="A325" t="s">
        <v>492</v>
      </c>
    </row>
    <row r="326" spans="1:1">
      <c r="A326" t="s">
        <v>493</v>
      </c>
    </row>
    <row r="327" spans="1:1">
      <c r="A327" t="s">
        <v>494</v>
      </c>
    </row>
    <row r="328" spans="1:1">
      <c r="A328" t="s">
        <v>495</v>
      </c>
    </row>
    <row r="329" spans="1:1">
      <c r="A329" t="s">
        <v>496</v>
      </c>
    </row>
    <row r="330" spans="1:1">
      <c r="A330" t="s">
        <v>497</v>
      </c>
    </row>
    <row r="331" spans="1:1">
      <c r="A331" t="s">
        <v>498</v>
      </c>
    </row>
    <row r="332" spans="1:1">
      <c r="A332" t="s">
        <v>629</v>
      </c>
    </row>
    <row r="333" spans="1:1">
      <c r="A333" t="s">
        <v>630</v>
      </c>
    </row>
    <row r="334" spans="1:1">
      <c r="A334" t="s">
        <v>631</v>
      </c>
    </row>
    <row r="335" spans="1:1">
      <c r="A335" t="s">
        <v>632</v>
      </c>
    </row>
    <row r="336" spans="1:1">
      <c r="A336" t="s">
        <v>633</v>
      </c>
    </row>
    <row r="337" spans="1:1">
      <c r="A337" t="s">
        <v>634</v>
      </c>
    </row>
    <row r="338" spans="1:1">
      <c r="A338" t="s">
        <v>635</v>
      </c>
    </row>
    <row r="339" spans="1:1">
      <c r="A339" t="s">
        <v>636</v>
      </c>
    </row>
    <row r="340" spans="1:1">
      <c r="A340" t="s">
        <v>637</v>
      </c>
    </row>
    <row r="341" spans="1:1">
      <c r="A341" t="s">
        <v>638</v>
      </c>
    </row>
    <row r="342" spans="1:1">
      <c r="A342" t="s">
        <v>639</v>
      </c>
    </row>
    <row r="343" spans="1:1">
      <c r="A343" t="s">
        <v>640</v>
      </c>
    </row>
    <row r="344" spans="1:1">
      <c r="A344" t="s">
        <v>641</v>
      </c>
    </row>
    <row r="345" spans="1:1">
      <c r="A345" t="s">
        <v>642</v>
      </c>
    </row>
    <row r="346" spans="1:1">
      <c r="A346" t="s">
        <v>643</v>
      </c>
    </row>
    <row r="347" spans="1:1">
      <c r="A347" t="s">
        <v>644</v>
      </c>
    </row>
    <row r="348" spans="1:1">
      <c r="A348" t="s">
        <v>645</v>
      </c>
    </row>
    <row r="349" spans="1:1">
      <c r="A349" t="s">
        <v>646</v>
      </c>
    </row>
    <row r="350" spans="1:1">
      <c r="A350" t="s">
        <v>647</v>
      </c>
    </row>
    <row r="351" spans="1:1">
      <c r="A351" t="s">
        <v>648</v>
      </c>
    </row>
    <row r="352" spans="1:1">
      <c r="A352" t="s">
        <v>649</v>
      </c>
    </row>
    <row r="353" spans="1:1">
      <c r="A353" t="s">
        <v>650</v>
      </c>
    </row>
    <row r="354" spans="1:1">
      <c r="A354" t="s">
        <v>651</v>
      </c>
    </row>
    <row r="355" spans="1:1">
      <c r="A355" t="s">
        <v>652</v>
      </c>
    </row>
    <row r="356" spans="1:1">
      <c r="A356" t="s">
        <v>653</v>
      </c>
    </row>
    <row r="357" spans="1:1">
      <c r="A357" t="s">
        <v>654</v>
      </c>
    </row>
    <row r="358" spans="1:1">
      <c r="A358" t="s">
        <v>499</v>
      </c>
    </row>
    <row r="359" spans="1:1">
      <c r="A359" t="s">
        <v>500</v>
      </c>
    </row>
    <row r="360" spans="1:1">
      <c r="A360" t="s">
        <v>501</v>
      </c>
    </row>
    <row r="361" spans="1:1">
      <c r="A361" t="s">
        <v>502</v>
      </c>
    </row>
    <row r="362" spans="1:1">
      <c r="A362" t="s">
        <v>503</v>
      </c>
    </row>
    <row r="363" spans="1:1">
      <c r="A363" t="s">
        <v>504</v>
      </c>
    </row>
    <row r="364" spans="1:1">
      <c r="A364" t="s">
        <v>505</v>
      </c>
    </row>
    <row r="365" spans="1:1">
      <c r="A365" t="s">
        <v>506</v>
      </c>
    </row>
    <row r="366" spans="1:1">
      <c r="A366" t="s">
        <v>507</v>
      </c>
    </row>
    <row r="367" spans="1:1">
      <c r="A367" t="s">
        <v>508</v>
      </c>
    </row>
    <row r="368" spans="1:1">
      <c r="A368" t="s">
        <v>509</v>
      </c>
    </row>
    <row r="369" spans="1:1">
      <c r="A369" t="s">
        <v>510</v>
      </c>
    </row>
    <row r="370" spans="1:1">
      <c r="A370" t="s">
        <v>511</v>
      </c>
    </row>
    <row r="371" spans="1:1">
      <c r="A371" t="s">
        <v>512</v>
      </c>
    </row>
    <row r="372" spans="1:1">
      <c r="A372" t="s">
        <v>513</v>
      </c>
    </row>
    <row r="373" spans="1:1">
      <c r="A373" t="s">
        <v>514</v>
      </c>
    </row>
    <row r="374" spans="1:1">
      <c r="A374" t="s">
        <v>515</v>
      </c>
    </row>
    <row r="375" spans="1:1">
      <c r="A375" t="s">
        <v>516</v>
      </c>
    </row>
    <row r="376" spans="1:1">
      <c r="A376" t="s">
        <v>517</v>
      </c>
    </row>
    <row r="377" spans="1:1">
      <c r="A377" t="s">
        <v>518</v>
      </c>
    </row>
    <row r="378" spans="1:1">
      <c r="A378" t="s">
        <v>519</v>
      </c>
    </row>
    <row r="379" spans="1:1">
      <c r="A379" t="s">
        <v>520</v>
      </c>
    </row>
    <row r="380" spans="1:1">
      <c r="A380" t="s">
        <v>521</v>
      </c>
    </row>
    <row r="381" spans="1:1">
      <c r="A381" t="s">
        <v>522</v>
      </c>
    </row>
    <row r="382" spans="1:1">
      <c r="A382" t="s">
        <v>523</v>
      </c>
    </row>
    <row r="383" spans="1:1">
      <c r="A383" t="s">
        <v>524</v>
      </c>
    </row>
    <row r="384" spans="1:1">
      <c r="A384" t="s">
        <v>525</v>
      </c>
    </row>
    <row r="385" spans="1:1">
      <c r="A385" t="s">
        <v>526</v>
      </c>
    </row>
    <row r="386" spans="1:1">
      <c r="A386" t="s">
        <v>527</v>
      </c>
    </row>
    <row r="387" spans="1:1">
      <c r="A387" t="s">
        <v>528</v>
      </c>
    </row>
    <row r="388" spans="1:1">
      <c r="A388" t="s">
        <v>529</v>
      </c>
    </row>
    <row r="389" spans="1:1">
      <c r="A389" t="s">
        <v>530</v>
      </c>
    </row>
    <row r="390" spans="1:1">
      <c r="A390" t="s">
        <v>531</v>
      </c>
    </row>
    <row r="391" spans="1:1">
      <c r="A391" t="s">
        <v>532</v>
      </c>
    </row>
    <row r="392" spans="1:1">
      <c r="A392" t="s">
        <v>533</v>
      </c>
    </row>
    <row r="393" spans="1:1">
      <c r="A393" t="s">
        <v>534</v>
      </c>
    </row>
    <row r="394" spans="1:1">
      <c r="A394" t="s">
        <v>535</v>
      </c>
    </row>
    <row r="395" spans="1:1">
      <c r="A395" t="s">
        <v>536</v>
      </c>
    </row>
    <row r="396" spans="1:1">
      <c r="A396" t="s">
        <v>537</v>
      </c>
    </row>
    <row r="397" spans="1:1">
      <c r="A397" t="s">
        <v>538</v>
      </c>
    </row>
    <row r="398" spans="1:1">
      <c r="A398" t="s">
        <v>539</v>
      </c>
    </row>
    <row r="399" spans="1:1">
      <c r="A399" t="s">
        <v>540</v>
      </c>
    </row>
    <row r="400" spans="1:1">
      <c r="A400" t="s">
        <v>541</v>
      </c>
    </row>
    <row r="401" spans="1:1">
      <c r="A401" t="s">
        <v>542</v>
      </c>
    </row>
    <row r="402" spans="1:1">
      <c r="A402" t="s">
        <v>543</v>
      </c>
    </row>
    <row r="403" spans="1:1">
      <c r="A403" t="s">
        <v>544</v>
      </c>
    </row>
    <row r="404" spans="1:1">
      <c r="A404" t="s">
        <v>545</v>
      </c>
    </row>
    <row r="405" spans="1:1">
      <c r="A405" t="s">
        <v>546</v>
      </c>
    </row>
    <row r="406" spans="1:1">
      <c r="A406" t="s">
        <v>547</v>
      </c>
    </row>
    <row r="407" spans="1:1">
      <c r="A407" t="s">
        <v>548</v>
      </c>
    </row>
    <row r="408" spans="1:1">
      <c r="A408" t="s">
        <v>549</v>
      </c>
    </row>
    <row r="409" spans="1:1">
      <c r="A409" t="s">
        <v>550</v>
      </c>
    </row>
    <row r="410" spans="1:1">
      <c r="A410" t="s">
        <v>551</v>
      </c>
    </row>
    <row r="411" spans="1:1">
      <c r="A411" t="s">
        <v>552</v>
      </c>
    </row>
    <row r="412" spans="1:1">
      <c r="A412" t="s">
        <v>553</v>
      </c>
    </row>
    <row r="413" spans="1:1">
      <c r="A413" t="s">
        <v>554</v>
      </c>
    </row>
    <row r="414" spans="1:1">
      <c r="A414" t="s">
        <v>555</v>
      </c>
    </row>
    <row r="415" spans="1:1">
      <c r="A415" t="s">
        <v>556</v>
      </c>
    </row>
    <row r="416" spans="1:1">
      <c r="A416" t="s">
        <v>557</v>
      </c>
    </row>
    <row r="417" spans="1:1">
      <c r="A417" t="s">
        <v>558</v>
      </c>
    </row>
    <row r="418" spans="1:1">
      <c r="A418" t="s">
        <v>559</v>
      </c>
    </row>
    <row r="419" spans="1:1">
      <c r="A419" t="s">
        <v>560</v>
      </c>
    </row>
    <row r="420" spans="1:1">
      <c r="A420" t="s">
        <v>561</v>
      </c>
    </row>
    <row r="421" spans="1:1">
      <c r="A421" t="s">
        <v>562</v>
      </c>
    </row>
    <row r="422" spans="1:1">
      <c r="A422" t="s">
        <v>563</v>
      </c>
    </row>
    <row r="423" spans="1:1">
      <c r="A423" t="s">
        <v>564</v>
      </c>
    </row>
    <row r="424" spans="1:1">
      <c r="A424" t="s">
        <v>565</v>
      </c>
    </row>
    <row r="425" spans="1:1">
      <c r="A425" t="s">
        <v>656</v>
      </c>
    </row>
    <row r="426" spans="1:1">
      <c r="A426" t="s">
        <v>657</v>
      </c>
    </row>
    <row r="427" spans="1:1">
      <c r="A427" t="s">
        <v>567</v>
      </c>
    </row>
  </sheetData>
  <sortState xmlns:xlrd2="http://schemas.microsoft.com/office/spreadsheetml/2017/richdata2"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EEF6-DB26-4500-A5AD-A10A51CA4101}">
  <dimension ref="B2:W37"/>
  <sheetViews>
    <sheetView showRowColHeaders="0" topLeftCell="B4" zoomScaleNormal="100" workbookViewId="0">
      <selection activeCell="E28" sqref="E28:S32"/>
    </sheetView>
  </sheetViews>
  <sheetFormatPr baseColWidth="10" defaultColWidth="9.140625" defaultRowHeight="15"/>
  <cols>
    <col min="1" max="1" width="0" style="2" hidden="1" customWidth="1"/>
    <col min="2" max="3" width="16.28515625" style="4" customWidth="1"/>
    <col min="4" max="11" width="9.140625" style="2"/>
    <col min="12" max="12" width="12.42578125" style="2" customWidth="1"/>
    <col min="13" max="16384" width="9.140625" style="2"/>
  </cols>
  <sheetData>
    <row r="2" spans="2:23" ht="15" customHeight="1">
      <c r="B2" s="92"/>
      <c r="C2" s="92"/>
      <c r="E2" s="89" t="s">
        <v>8</v>
      </c>
      <c r="F2" s="89"/>
      <c r="G2" s="89"/>
      <c r="H2" s="89"/>
      <c r="I2" s="89"/>
      <c r="J2" s="89"/>
      <c r="K2" s="89"/>
      <c r="L2" s="89"/>
      <c r="M2" s="89"/>
      <c r="N2" s="89"/>
      <c r="O2" s="89"/>
      <c r="P2" s="89"/>
      <c r="Q2" s="89"/>
      <c r="R2" s="89"/>
      <c r="S2" s="89"/>
      <c r="T2" s="89"/>
      <c r="U2" s="89"/>
      <c r="V2" s="89"/>
      <c r="W2" s="89"/>
    </row>
    <row r="3" spans="2:23" ht="15" customHeight="1" thickBot="1">
      <c r="B3" s="92"/>
      <c r="C3" s="92"/>
      <c r="E3" s="90"/>
      <c r="F3" s="90"/>
      <c r="G3" s="90"/>
      <c r="H3" s="90"/>
      <c r="I3" s="90"/>
      <c r="J3" s="90"/>
      <c r="K3" s="90"/>
      <c r="L3" s="90"/>
      <c r="M3" s="90"/>
      <c r="N3" s="90"/>
      <c r="O3" s="90"/>
      <c r="P3" s="90"/>
      <c r="Q3" s="90"/>
      <c r="R3" s="90"/>
      <c r="S3" s="90"/>
      <c r="T3" s="90"/>
      <c r="U3" s="90"/>
      <c r="V3" s="90"/>
      <c r="W3" s="90"/>
    </row>
    <row r="4" spans="2:23">
      <c r="B4" s="92"/>
      <c r="C4" s="92"/>
    </row>
    <row r="5" spans="2:23" ht="15" customHeight="1">
      <c r="E5" s="134" t="s">
        <v>22</v>
      </c>
      <c r="F5" s="134"/>
      <c r="G5" s="134"/>
      <c r="H5" s="134"/>
      <c r="I5" s="134"/>
      <c r="J5" s="134"/>
      <c r="K5" s="134"/>
      <c r="L5" s="53"/>
      <c r="M5" s="6"/>
      <c r="N5" s="6"/>
      <c r="O5" s="6"/>
      <c r="P5" s="6"/>
      <c r="Q5" s="135" t="s">
        <v>23</v>
      </c>
      <c r="R5" s="135"/>
      <c r="S5" s="135"/>
      <c r="T5" s="6"/>
      <c r="U5" s="96" t="s">
        <v>24</v>
      </c>
      <c r="V5" s="97"/>
      <c r="W5" s="97"/>
    </row>
    <row r="6" spans="2:23" ht="15" customHeight="1">
      <c r="B6" s="93" t="s">
        <v>4</v>
      </c>
      <c r="C6" s="93"/>
      <c r="E6" s="134"/>
      <c r="F6" s="134"/>
      <c r="G6" s="134"/>
      <c r="H6" s="134"/>
      <c r="I6" s="134"/>
      <c r="J6" s="134"/>
      <c r="K6" s="134"/>
      <c r="L6" s="53"/>
      <c r="M6" s="6"/>
      <c r="N6" s="6"/>
      <c r="O6" s="6"/>
      <c r="P6" s="6"/>
      <c r="Q6" s="136">
        <v>45700</v>
      </c>
      <c r="R6" s="136"/>
      <c r="S6" s="136"/>
      <c r="T6" s="6"/>
      <c r="U6" s="97"/>
      <c r="V6" s="97"/>
      <c r="W6" s="97"/>
    </row>
    <row r="7" spans="2:23">
      <c r="B7" s="3"/>
      <c r="C7" s="3"/>
      <c r="E7" s="53"/>
      <c r="F7" s="53"/>
      <c r="G7" s="53"/>
      <c r="H7" s="53"/>
      <c r="I7" s="53"/>
      <c r="J7" s="53"/>
      <c r="K7" s="53"/>
      <c r="L7" s="53"/>
      <c r="Q7" s="136"/>
      <c r="R7" s="136"/>
      <c r="S7" s="136"/>
      <c r="U7" s="97"/>
      <c r="V7" s="97"/>
      <c r="W7" s="97"/>
    </row>
    <row r="8" spans="2:23" ht="19.5">
      <c r="B8" s="93" t="s">
        <v>8</v>
      </c>
      <c r="C8" s="93"/>
      <c r="U8" s="97"/>
      <c r="V8" s="97"/>
      <c r="W8" s="97"/>
    </row>
    <row r="9" spans="2:23">
      <c r="B9" s="3"/>
      <c r="C9" s="3"/>
      <c r="E9" s="100" t="s">
        <v>25</v>
      </c>
      <c r="F9" s="100"/>
      <c r="G9" s="124"/>
      <c r="H9" s="123" t="s">
        <v>26</v>
      </c>
      <c r="I9" s="124"/>
      <c r="J9" s="100" t="s">
        <v>27</v>
      </c>
      <c r="K9" s="100"/>
      <c r="L9" s="124"/>
      <c r="M9" s="100" t="s">
        <v>28</v>
      </c>
      <c r="N9" s="100"/>
      <c r="O9" s="100"/>
      <c r="P9" s="125"/>
      <c r="Q9" s="126" t="s">
        <v>29</v>
      </c>
      <c r="R9" s="127"/>
      <c r="S9" s="127"/>
      <c r="U9" s="97"/>
      <c r="V9" s="97"/>
      <c r="W9" s="97"/>
    </row>
    <row r="10" spans="2:23" ht="15" customHeight="1">
      <c r="B10" s="93" t="s">
        <v>10</v>
      </c>
      <c r="C10" s="93"/>
      <c r="E10" s="100"/>
      <c r="F10" s="100"/>
      <c r="G10" s="124"/>
      <c r="H10" s="123"/>
      <c r="I10" s="124"/>
      <c r="J10" s="100"/>
      <c r="K10" s="100"/>
      <c r="L10" s="124"/>
      <c r="M10" s="100"/>
      <c r="N10" s="100"/>
      <c r="O10" s="100"/>
      <c r="P10" s="125"/>
      <c r="Q10" s="126"/>
      <c r="R10" s="127"/>
      <c r="S10" s="127"/>
      <c r="T10" s="7"/>
      <c r="U10" s="97"/>
      <c r="V10" s="97"/>
      <c r="W10" s="97"/>
    </row>
    <row r="11" spans="2:23" ht="19.5">
      <c r="B11" s="93"/>
      <c r="C11" s="93"/>
      <c r="T11" s="82"/>
      <c r="U11" s="40"/>
      <c r="V11" s="40"/>
      <c r="W11" s="40"/>
    </row>
    <row r="12" spans="2:23" ht="19.5">
      <c r="B12" s="93" t="s">
        <v>11</v>
      </c>
      <c r="C12" s="93"/>
      <c r="E12" s="109" t="s">
        <v>30</v>
      </c>
      <c r="F12" s="109"/>
      <c r="G12" s="110"/>
      <c r="H12" s="111" t="s">
        <v>31</v>
      </c>
      <c r="I12" s="112"/>
      <c r="J12" s="113">
        <v>44817</v>
      </c>
      <c r="K12" s="114"/>
      <c r="L12" s="115"/>
      <c r="M12" s="117" t="s">
        <v>32</v>
      </c>
      <c r="N12" s="118"/>
      <c r="O12" s="118"/>
      <c r="P12" s="119"/>
      <c r="Q12" s="120">
        <v>44846</v>
      </c>
      <c r="R12" s="114"/>
      <c r="S12" s="114"/>
      <c r="T12" s="83"/>
      <c r="U12" s="98" t="s">
        <v>21</v>
      </c>
      <c r="V12" s="98"/>
      <c r="W12" s="98"/>
    </row>
    <row r="13" spans="2:23" ht="19.5">
      <c r="B13" s="93"/>
      <c r="C13" s="93"/>
      <c r="E13" s="109"/>
      <c r="F13" s="109"/>
      <c r="G13" s="110"/>
      <c r="H13" s="111"/>
      <c r="I13" s="112"/>
      <c r="J13" s="116"/>
      <c r="K13" s="114"/>
      <c r="L13" s="115"/>
      <c r="M13" s="117"/>
      <c r="N13" s="118"/>
      <c r="O13" s="118"/>
      <c r="P13" s="119"/>
      <c r="Q13" s="114"/>
      <c r="R13" s="114"/>
      <c r="S13" s="114"/>
      <c r="T13" s="81">
        <f>IFERROR(LOOKUP(Q12,Administrador!$L$9:$L$11,Administrador!$M$9:$M$11),0)</f>
        <v>1</v>
      </c>
      <c r="U13" s="98"/>
      <c r="V13" s="98"/>
      <c r="W13" s="98"/>
    </row>
    <row r="14" spans="2:23" ht="19.5">
      <c r="B14" s="93" t="s">
        <v>12</v>
      </c>
      <c r="C14" s="93"/>
      <c r="E14" s="101" t="s">
        <v>33</v>
      </c>
      <c r="F14" s="101"/>
      <c r="G14" s="102"/>
      <c r="H14" s="103" t="s">
        <v>31</v>
      </c>
      <c r="I14" s="104"/>
      <c r="J14" s="105">
        <v>45538</v>
      </c>
      <c r="K14" s="106"/>
      <c r="L14" s="107"/>
      <c r="M14" s="128" t="s">
        <v>34</v>
      </c>
      <c r="N14" s="129"/>
      <c r="O14" s="129"/>
      <c r="P14" s="130"/>
      <c r="Q14" s="122">
        <v>45478</v>
      </c>
      <c r="R14" s="106"/>
      <c r="S14" s="106"/>
      <c r="T14" s="81"/>
      <c r="U14" s="40"/>
      <c r="V14" s="40"/>
      <c r="W14" s="40"/>
    </row>
    <row r="15" spans="2:23" ht="19.5">
      <c r="B15" s="93"/>
      <c r="C15" s="93"/>
      <c r="E15" s="101"/>
      <c r="F15" s="101"/>
      <c r="G15" s="102"/>
      <c r="H15" s="103"/>
      <c r="I15" s="104"/>
      <c r="J15" s="108"/>
      <c r="K15" s="106"/>
      <c r="L15" s="107"/>
      <c r="M15" s="128"/>
      <c r="N15" s="129"/>
      <c r="O15" s="129"/>
      <c r="P15" s="130"/>
      <c r="Q15" s="106"/>
      <c r="R15" s="106"/>
      <c r="S15" s="106"/>
      <c r="T15" s="81">
        <f>IFERROR(LOOKUP(Q14,Administrador!$L$9:$L$11,Administrador!$M$9:$M$11),0)</f>
        <v>2</v>
      </c>
    </row>
    <row r="16" spans="2:23" ht="19.5">
      <c r="B16" s="93" t="s">
        <v>17</v>
      </c>
      <c r="C16" s="93"/>
      <c r="E16" s="109" t="s">
        <v>35</v>
      </c>
      <c r="F16" s="109"/>
      <c r="G16" s="110"/>
      <c r="H16" s="111" t="s">
        <v>31</v>
      </c>
      <c r="I16" s="112"/>
      <c r="J16" s="113">
        <v>43630</v>
      </c>
      <c r="K16" s="114"/>
      <c r="L16" s="115"/>
      <c r="M16" s="117" t="s">
        <v>36</v>
      </c>
      <c r="N16" s="118"/>
      <c r="O16" s="118"/>
      <c r="P16" s="119"/>
      <c r="Q16" s="120">
        <v>44391</v>
      </c>
      <c r="R16" s="114"/>
      <c r="S16" s="114"/>
      <c r="T16" s="81"/>
      <c r="U16" s="131" t="s">
        <v>37</v>
      </c>
      <c r="V16" s="132"/>
      <c r="W16" s="132"/>
    </row>
    <row r="17" spans="2:23" ht="19.5">
      <c r="B17" s="93"/>
      <c r="C17" s="93"/>
      <c r="E17" s="109"/>
      <c r="F17" s="109"/>
      <c r="G17" s="110"/>
      <c r="H17" s="111"/>
      <c r="I17" s="112"/>
      <c r="J17" s="116"/>
      <c r="K17" s="114"/>
      <c r="L17" s="115"/>
      <c r="M17" s="117"/>
      <c r="N17" s="118"/>
      <c r="O17" s="118"/>
      <c r="P17" s="119"/>
      <c r="Q17" s="114"/>
      <c r="R17" s="114"/>
      <c r="S17" s="114"/>
      <c r="T17" s="81">
        <f>IFERROR(LOOKUP(Q16,Administrador!$L$9:$L$11,Administrador!$M$9:$M$11),0)</f>
        <v>1</v>
      </c>
      <c r="U17" s="132"/>
      <c r="V17" s="132"/>
      <c r="W17" s="132"/>
    </row>
    <row r="18" spans="2:23" ht="15" customHeight="1">
      <c r="B18" s="93" t="s">
        <v>18</v>
      </c>
      <c r="C18" s="93"/>
      <c r="E18" s="101" t="s">
        <v>38</v>
      </c>
      <c r="F18" s="101"/>
      <c r="G18" s="102"/>
      <c r="H18" s="103" t="s">
        <v>31</v>
      </c>
      <c r="I18" s="104"/>
      <c r="J18" s="105">
        <v>42829</v>
      </c>
      <c r="K18" s="106"/>
      <c r="L18" s="107"/>
      <c r="M18" s="128" t="s">
        <v>39</v>
      </c>
      <c r="N18" s="129"/>
      <c r="O18" s="129"/>
      <c r="P18" s="130"/>
      <c r="Q18" s="122">
        <v>45153</v>
      </c>
      <c r="R18" s="106"/>
      <c r="S18" s="106"/>
      <c r="T18" s="75"/>
      <c r="U18" s="132"/>
      <c r="V18" s="132"/>
      <c r="W18" s="132"/>
    </row>
    <row r="19" spans="2:23" ht="19.5">
      <c r="B19" s="93"/>
      <c r="C19" s="93"/>
      <c r="E19" s="101"/>
      <c r="F19" s="101"/>
      <c r="G19" s="102"/>
      <c r="H19" s="103"/>
      <c r="I19" s="104"/>
      <c r="J19" s="108"/>
      <c r="K19" s="106"/>
      <c r="L19" s="107"/>
      <c r="M19" s="128"/>
      <c r="N19" s="129"/>
      <c r="O19" s="129"/>
      <c r="P19" s="130"/>
      <c r="Q19" s="106"/>
      <c r="R19" s="106"/>
      <c r="S19" s="106"/>
      <c r="T19" s="81">
        <f>IFERROR(LOOKUP(Q18,Administrador!$L$9:$L$11,Administrador!$M$9:$M$11),0)</f>
        <v>1</v>
      </c>
      <c r="U19" s="132"/>
      <c r="V19" s="132"/>
      <c r="W19" s="132"/>
    </row>
    <row r="20" spans="2:23" ht="19.5" customHeight="1">
      <c r="B20" s="93" t="s">
        <v>19</v>
      </c>
      <c r="C20" s="93"/>
      <c r="E20" s="109" t="s">
        <v>40</v>
      </c>
      <c r="F20" s="109"/>
      <c r="G20" s="110"/>
      <c r="H20" s="111" t="s">
        <v>31</v>
      </c>
      <c r="I20" s="112"/>
      <c r="J20" s="113">
        <v>45328</v>
      </c>
      <c r="K20" s="114"/>
      <c r="L20" s="115"/>
      <c r="M20" s="117" t="s">
        <v>41</v>
      </c>
      <c r="N20" s="118"/>
      <c r="O20" s="118"/>
      <c r="P20" s="119"/>
      <c r="Q20" s="120">
        <v>44742</v>
      </c>
      <c r="R20" s="114"/>
      <c r="S20" s="114"/>
      <c r="T20" s="75"/>
      <c r="U20" s="132"/>
      <c r="V20" s="132"/>
      <c r="W20" s="132"/>
    </row>
    <row r="21" spans="2:23" ht="19.5">
      <c r="B21" s="93"/>
      <c r="C21" s="93"/>
      <c r="E21" s="109"/>
      <c r="F21" s="109"/>
      <c r="G21" s="110"/>
      <c r="H21" s="111"/>
      <c r="I21" s="112"/>
      <c r="J21" s="116"/>
      <c r="K21" s="114"/>
      <c r="L21" s="115"/>
      <c r="M21" s="117"/>
      <c r="N21" s="118"/>
      <c r="O21" s="118"/>
      <c r="P21" s="119"/>
      <c r="Q21" s="114"/>
      <c r="R21" s="114"/>
      <c r="S21" s="114"/>
      <c r="T21" s="81">
        <f>IFERROR(LOOKUP(Q20,Administrador!$L$9:$L$11,Administrador!$M$9:$M$11),0)</f>
        <v>1</v>
      </c>
      <c r="U21" s="132"/>
      <c r="V21" s="132"/>
      <c r="W21" s="132"/>
    </row>
    <row r="22" spans="2:23">
      <c r="E22" s="101" t="s">
        <v>42</v>
      </c>
      <c r="F22" s="101"/>
      <c r="G22" s="102"/>
      <c r="H22" s="103" t="s">
        <v>31</v>
      </c>
      <c r="I22" s="104"/>
      <c r="J22" s="105">
        <v>45548</v>
      </c>
      <c r="K22" s="106"/>
      <c r="L22" s="107"/>
      <c r="M22" s="128" t="s">
        <v>34</v>
      </c>
      <c r="N22" s="129"/>
      <c r="O22" s="129"/>
      <c r="P22" s="130"/>
      <c r="Q22" s="105">
        <v>45478</v>
      </c>
      <c r="R22" s="106"/>
      <c r="S22" s="107"/>
      <c r="T22" s="75"/>
      <c r="U22" s="132"/>
      <c r="V22" s="132"/>
      <c r="W22" s="132"/>
    </row>
    <row r="23" spans="2:23">
      <c r="E23" s="101"/>
      <c r="F23" s="101"/>
      <c r="G23" s="102"/>
      <c r="H23" s="103"/>
      <c r="I23" s="104"/>
      <c r="J23" s="108"/>
      <c r="K23" s="106"/>
      <c r="L23" s="107"/>
      <c r="M23" s="128"/>
      <c r="N23" s="129"/>
      <c r="O23" s="129"/>
      <c r="P23" s="130"/>
      <c r="Q23" s="108"/>
      <c r="R23" s="106"/>
      <c r="S23" s="107"/>
      <c r="T23" s="81">
        <f>IFERROR(LOOKUP(Q22,Administrador!$L$9:$L$11,Administrador!$M$9:$M$11),0)</f>
        <v>2</v>
      </c>
      <c r="U23" s="132"/>
      <c r="V23" s="132"/>
      <c r="W23" s="132"/>
    </row>
    <row r="24" spans="2:23">
      <c r="U24" s="132"/>
      <c r="V24" s="132"/>
      <c r="W24" s="132"/>
    </row>
    <row r="25" spans="2:23">
      <c r="U25" s="132"/>
      <c r="V25" s="132"/>
      <c r="W25" s="132"/>
    </row>
    <row r="26" spans="2:23">
      <c r="E26" s="100" t="s">
        <v>43</v>
      </c>
      <c r="F26" s="100"/>
      <c r="G26" s="100"/>
      <c r="U26" s="5"/>
      <c r="V26" s="5"/>
      <c r="W26" s="5"/>
    </row>
    <row r="27" spans="2:23">
      <c r="E27" s="100"/>
      <c r="F27" s="100"/>
      <c r="G27" s="100"/>
      <c r="U27" s="131" t="s">
        <v>44</v>
      </c>
      <c r="V27" s="131"/>
      <c r="W27" s="131"/>
    </row>
    <row r="28" spans="2:23">
      <c r="E28" s="121"/>
      <c r="F28" s="121"/>
      <c r="G28" s="121"/>
      <c r="H28" s="121"/>
      <c r="I28" s="121"/>
      <c r="J28" s="121"/>
      <c r="K28" s="121"/>
      <c r="L28" s="121"/>
      <c r="M28" s="121"/>
      <c r="N28" s="121"/>
      <c r="O28" s="121"/>
      <c r="P28" s="121"/>
      <c r="Q28" s="121"/>
      <c r="R28" s="121"/>
      <c r="S28" s="121"/>
      <c r="U28" s="133"/>
      <c r="V28" s="133"/>
      <c r="W28" s="133"/>
    </row>
    <row r="29" spans="2:23">
      <c r="E29" s="121"/>
      <c r="F29" s="121"/>
      <c r="G29" s="121"/>
      <c r="H29" s="121"/>
      <c r="I29" s="121"/>
      <c r="J29" s="121"/>
      <c r="K29" s="121"/>
      <c r="L29" s="121"/>
      <c r="M29" s="121"/>
      <c r="N29" s="121"/>
      <c r="O29" s="121"/>
      <c r="P29" s="121"/>
      <c r="Q29" s="121"/>
      <c r="R29" s="121"/>
      <c r="S29" s="121"/>
      <c r="U29" s="133"/>
      <c r="V29" s="133"/>
      <c r="W29" s="133"/>
    </row>
    <row r="30" spans="2:23">
      <c r="E30" s="121"/>
      <c r="F30" s="121"/>
      <c r="G30" s="121"/>
      <c r="H30" s="121"/>
      <c r="I30" s="121"/>
      <c r="J30" s="121"/>
      <c r="K30" s="121"/>
      <c r="L30" s="121"/>
      <c r="M30" s="121"/>
      <c r="N30" s="121"/>
      <c r="O30" s="121"/>
      <c r="P30" s="121"/>
      <c r="Q30" s="121"/>
      <c r="R30" s="121"/>
      <c r="S30" s="121"/>
      <c r="U30" s="133"/>
      <c r="V30" s="133"/>
      <c r="W30" s="133"/>
    </row>
    <row r="31" spans="2:23">
      <c r="E31" s="121"/>
      <c r="F31" s="121"/>
      <c r="G31" s="121"/>
      <c r="H31" s="121"/>
      <c r="I31" s="121"/>
      <c r="J31" s="121"/>
      <c r="K31" s="121"/>
      <c r="L31" s="121"/>
      <c r="M31" s="121"/>
      <c r="N31" s="121"/>
      <c r="O31" s="121"/>
      <c r="P31" s="121"/>
      <c r="Q31" s="121"/>
      <c r="R31" s="121"/>
      <c r="S31" s="121"/>
      <c r="U31" s="133"/>
      <c r="V31" s="133"/>
      <c r="W31" s="133"/>
    </row>
    <row r="32" spans="2:23">
      <c r="E32" s="121"/>
      <c r="F32" s="121"/>
      <c r="G32" s="121"/>
      <c r="H32" s="121"/>
      <c r="I32" s="121"/>
      <c r="J32" s="121"/>
      <c r="K32" s="121"/>
      <c r="L32" s="121"/>
      <c r="M32" s="121"/>
      <c r="N32" s="121"/>
      <c r="O32" s="121"/>
      <c r="P32" s="121"/>
      <c r="Q32" s="121"/>
      <c r="R32" s="121"/>
      <c r="S32" s="121"/>
    </row>
    <row r="33" spans="21:23" ht="15" customHeight="1">
      <c r="U33" s="99" t="s">
        <v>45</v>
      </c>
      <c r="V33" s="99"/>
      <c r="W33" s="99"/>
    </row>
    <row r="34" spans="21:23">
      <c r="U34" s="99"/>
      <c r="V34" s="99"/>
      <c r="W34" s="99"/>
    </row>
    <row r="35" spans="21:23">
      <c r="U35" s="99"/>
      <c r="V35" s="99"/>
      <c r="W35" s="99"/>
    </row>
    <row r="36" spans="21:23">
      <c r="U36" s="99"/>
      <c r="V36" s="99"/>
      <c r="W36" s="99"/>
    </row>
    <row r="37" spans="21:23">
      <c r="U37" s="99"/>
      <c r="V37" s="99"/>
      <c r="W37" s="99"/>
    </row>
  </sheetData>
  <sheetProtection algorithmName="SHA-512" hashValue="1+j7ihKBBNhaAbXLD7JZvdrsz+KEVG+9V76n7pMwhgS1O481b4OlbiAtVce9bbA6wLdsJkk/qCwcI7u6aMwC5g==" saltValue="YXZn2kSVB6udPgqy9B+tGQ==" spinCount="100000" sheet="1" objects="1" scenarios="1"/>
  <mergeCells count="61">
    <mergeCell ref="Q5:S5"/>
    <mergeCell ref="Q6:S7"/>
    <mergeCell ref="J18:L19"/>
    <mergeCell ref="B20:C20"/>
    <mergeCell ref="H14:I15"/>
    <mergeCell ref="J14:L15"/>
    <mergeCell ref="M14:P15"/>
    <mergeCell ref="M18:P19"/>
    <mergeCell ref="E14:G15"/>
    <mergeCell ref="B11:C11"/>
    <mergeCell ref="B13:C13"/>
    <mergeCell ref="B15:C15"/>
    <mergeCell ref="B17:C17"/>
    <mergeCell ref="B19:C19"/>
    <mergeCell ref="E2:W3"/>
    <mergeCell ref="U16:W25"/>
    <mergeCell ref="U27:W31"/>
    <mergeCell ref="B16:C16"/>
    <mergeCell ref="B2:C4"/>
    <mergeCell ref="B6:C6"/>
    <mergeCell ref="B8:C8"/>
    <mergeCell ref="B10:C10"/>
    <mergeCell ref="B12:C12"/>
    <mergeCell ref="B14:C14"/>
    <mergeCell ref="E9:G10"/>
    <mergeCell ref="B18:C18"/>
    <mergeCell ref="E12:G13"/>
    <mergeCell ref="H12:I13"/>
    <mergeCell ref="J16:L17"/>
    <mergeCell ref="E5:K6"/>
    <mergeCell ref="E28:S32"/>
    <mergeCell ref="Q18:S19"/>
    <mergeCell ref="H9:I10"/>
    <mergeCell ref="J9:L10"/>
    <mergeCell ref="M9:P10"/>
    <mergeCell ref="Q9:S10"/>
    <mergeCell ref="Q12:S13"/>
    <mergeCell ref="Q14:S15"/>
    <mergeCell ref="Q16:S17"/>
    <mergeCell ref="M16:P17"/>
    <mergeCell ref="J12:L13"/>
    <mergeCell ref="M12:P13"/>
    <mergeCell ref="M22:P23"/>
    <mergeCell ref="E18:G19"/>
    <mergeCell ref="H18:I19"/>
    <mergeCell ref="B21:C21"/>
    <mergeCell ref="U5:W10"/>
    <mergeCell ref="U12:W13"/>
    <mergeCell ref="U33:W37"/>
    <mergeCell ref="E26:G27"/>
    <mergeCell ref="E22:G23"/>
    <mergeCell ref="H22:I23"/>
    <mergeCell ref="J22:L23"/>
    <mergeCell ref="Q22:S23"/>
    <mergeCell ref="E20:G21"/>
    <mergeCell ref="H20:I21"/>
    <mergeCell ref="J20:L21"/>
    <mergeCell ref="M20:P21"/>
    <mergeCell ref="Q20:S21"/>
    <mergeCell ref="E16:G17"/>
    <mergeCell ref="H16:I17"/>
  </mergeCells>
  <dataValidations xWindow="1228" yWindow="570" count="3">
    <dataValidation allowBlank="1" showInputMessage="1" showErrorMessage="1" promptTitle="Hallazgo u Observacion" prompt="Indique cualquier Hallazgo u Observacion que amerite acciones de mejoramiento, asi como cualquier aclaración. Por Favor seguir las recomendaciones para la redaccion de hallazgos de la Guia de Auditoria Interna Basada en Riesgos V4 DAFP p 69" sqref="E28:S32" xr:uid="{01FC1BF5-80CA-4162-A5E5-30777C4B4C09}"/>
    <dataValidation type="date" allowBlank="1" showInputMessage="1" showErrorMessage="1" promptTitle="Visualización en eKOGUI" prompt="Diligenciar la fecha de consulta en eKOGUI de la información a ingresar en esta hoja, formato (DD/MM/AAAA)" sqref="Q6:S7" xr:uid="{3830DA10-0922-4DA4-B831-05E5B00DF1C9}">
      <formula1>44927</formula1>
      <formula2>401769</formula2>
    </dataValidation>
    <dataValidation type="date" allowBlank="1" showInputMessage="1" showErrorMessage="1" sqref="J12:L23 Q12:S23" xr:uid="{5AB7D277-D0C4-43C0-9FBA-E2BB85BA13AC}">
      <formula1>42005</formula1>
      <formula2>45748</formula2>
    </dataValidation>
  </dataValidations>
  <hyperlinks>
    <hyperlink ref="B10:C10" location="Abogados!A1" display="Abogados" xr:uid="{79658562-28A5-4233-819D-27C2270F495B}"/>
    <hyperlink ref="B12:C12" location="Judiciales!A1" display="Judiciales" xr:uid="{F1FDAA72-FED4-4167-8076-CC465949EE09}"/>
    <hyperlink ref="B18:C18" location="Pagos!A1" display="Pagos" xr:uid="{F8ADA34A-108E-409D-9C59-C2D04301AFF5}"/>
    <hyperlink ref="B8:C8" location="Usuarios!A1" display="Usuarios" xr:uid="{2697C914-B91A-4EEA-8B36-5AD16D5D953A}"/>
    <hyperlink ref="B16:C16" location="'Comité de conciliación'!A1" display="Comité de conciliación" xr:uid="{05F45832-FE11-463A-B65D-B1F6A82F3C7B}"/>
    <hyperlink ref="B20:C20" location="Resumen!A1" display="Resumen general" xr:uid="{1881E495-9428-462E-8578-1499EF491766}"/>
    <hyperlink ref="B14:C14" location="Arbitramentos!A1" display="Arbitramentos" xr:uid="{EBBD004E-C611-4FF1-8246-C7F9EBDBCAAA}"/>
    <hyperlink ref="B6:C6" location="Portada!A1" display="Portada" xr:uid="{115B278E-831B-49A4-B0ED-3ABBB3DB219A}"/>
    <hyperlink ref="U12:W13" r:id="rId1" display="Acceder al manual" xr:uid="{37A36E14-98F8-4587-8C1F-460CE70FBAFC}"/>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xWindow="1228" yWindow="570" count="1">
        <x14:dataValidation type="list" allowBlank="1" showInputMessage="1" showErrorMessage="1" promptTitle="Rol asignado Activo" prompt="Indique si tiene o no el Rol asignado Activo en el aplicativo Ekogui, un usuario puede tener uno o mas Roles Activos en el sistema. Relacionar los que apliquen. Si el Rol No aplica para su entidad Seleccione N/A" xr:uid="{62A8441C-17D1-4AB8-9049-711D8EDE5ADD}">
          <x14:formula1>
            <xm:f>Administrador!$A$2:$A$4</xm:f>
          </x14:formula1>
          <xm:sqref>H12:I23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F03-04B0-49B2-9652-A9A87B9F28ED}">
  <dimension ref="B2:X42"/>
  <sheetViews>
    <sheetView showRowColHeaders="0" topLeftCell="B6" zoomScale="115" zoomScaleNormal="115" workbookViewId="0">
      <selection activeCell="E30" sqref="E30:S33"/>
    </sheetView>
  </sheetViews>
  <sheetFormatPr baseColWidth="10" defaultColWidth="11.42578125" defaultRowHeight="15"/>
  <cols>
    <col min="1" max="1" width="0" style="2" hidden="1" customWidth="1"/>
    <col min="2" max="3" width="16.28515625" style="4" customWidth="1"/>
    <col min="4" max="29" width="9.140625" style="2" customWidth="1"/>
    <col min="30" max="16384" width="11.42578125" style="2"/>
  </cols>
  <sheetData>
    <row r="2" spans="2:24">
      <c r="B2" s="92"/>
      <c r="C2" s="92"/>
      <c r="E2" s="89" t="s">
        <v>10</v>
      </c>
      <c r="F2" s="156"/>
      <c r="G2" s="156"/>
      <c r="H2" s="156"/>
      <c r="I2" s="156"/>
      <c r="J2" s="156"/>
      <c r="K2" s="156"/>
      <c r="L2" s="156"/>
      <c r="M2" s="156"/>
      <c r="N2" s="156"/>
      <c r="O2" s="156"/>
      <c r="P2" s="156"/>
      <c r="Q2" s="156"/>
      <c r="R2" s="156"/>
      <c r="S2" s="156"/>
      <c r="T2" s="156"/>
      <c r="U2" s="156"/>
      <c r="V2" s="156"/>
      <c r="W2" s="156"/>
    </row>
    <row r="3" spans="2:24" ht="15.75" thickBot="1">
      <c r="B3" s="92"/>
      <c r="C3" s="92"/>
      <c r="E3" s="157"/>
      <c r="F3" s="157"/>
      <c r="G3" s="157"/>
      <c r="H3" s="157"/>
      <c r="I3" s="157"/>
      <c r="J3" s="157"/>
      <c r="K3" s="157"/>
      <c r="L3" s="157"/>
      <c r="M3" s="157"/>
      <c r="N3" s="157"/>
      <c r="O3" s="157"/>
      <c r="P3" s="157"/>
      <c r="Q3" s="157"/>
      <c r="R3" s="157"/>
      <c r="S3" s="157"/>
      <c r="T3" s="157"/>
      <c r="U3" s="157"/>
      <c r="V3" s="157"/>
      <c r="W3" s="157"/>
    </row>
    <row r="4" spans="2:24">
      <c r="B4" s="92"/>
      <c r="C4" s="92"/>
    </row>
    <row r="5" spans="2:24" ht="15" customHeight="1">
      <c r="E5" s="158" t="s">
        <v>46</v>
      </c>
      <c r="F5" s="158"/>
      <c r="G5" s="158"/>
      <c r="H5" s="158"/>
      <c r="I5" s="158"/>
      <c r="J5" s="158"/>
      <c r="K5" s="158"/>
      <c r="L5" s="158"/>
      <c r="M5" s="158"/>
      <c r="N5" s="158"/>
      <c r="O5" s="158"/>
      <c r="P5" s="10"/>
      <c r="Q5" s="135" t="s">
        <v>23</v>
      </c>
      <c r="R5" s="135"/>
      <c r="S5" s="135"/>
      <c r="U5" s="96" t="s">
        <v>47</v>
      </c>
      <c r="V5" s="97"/>
      <c r="W5" s="97"/>
    </row>
    <row r="6" spans="2:24" ht="19.5">
      <c r="B6" s="93" t="s">
        <v>4</v>
      </c>
      <c r="C6" s="93"/>
      <c r="E6" s="158"/>
      <c r="F6" s="158"/>
      <c r="G6" s="158"/>
      <c r="H6" s="158"/>
      <c r="I6" s="158"/>
      <c r="J6" s="158"/>
      <c r="K6" s="158"/>
      <c r="L6" s="158"/>
      <c r="M6" s="158"/>
      <c r="N6" s="158"/>
      <c r="O6" s="158"/>
      <c r="P6" s="11"/>
      <c r="Q6" s="136">
        <v>45700</v>
      </c>
      <c r="R6" s="136"/>
      <c r="S6" s="136"/>
      <c r="U6" s="97"/>
      <c r="V6" s="97"/>
      <c r="W6" s="97"/>
    </row>
    <row r="7" spans="2:24">
      <c r="B7" s="3"/>
      <c r="C7" s="3"/>
      <c r="P7" s="11"/>
      <c r="Q7" s="136"/>
      <c r="R7" s="136"/>
      <c r="S7" s="136"/>
      <c r="U7" s="97"/>
      <c r="V7" s="97"/>
      <c r="W7" s="97"/>
    </row>
    <row r="8" spans="2:24" ht="19.5">
      <c r="B8" s="93" t="s">
        <v>8</v>
      </c>
      <c r="C8" s="93"/>
      <c r="H8" s="12"/>
      <c r="I8" s="12"/>
      <c r="J8" s="12"/>
      <c r="K8" s="12"/>
      <c r="L8" s="12"/>
      <c r="M8" s="12"/>
      <c r="U8" s="97"/>
      <c r="V8" s="97"/>
      <c r="W8" s="97"/>
    </row>
    <row r="9" spans="2:24" ht="15" customHeight="1">
      <c r="B9" s="3"/>
      <c r="C9" s="3"/>
      <c r="E9" s="160">
        <v>151</v>
      </c>
      <c r="F9" s="160"/>
      <c r="G9" s="15"/>
      <c r="H9" s="160">
        <v>151</v>
      </c>
      <c r="I9" s="160"/>
      <c r="J9" s="15"/>
      <c r="K9" s="160">
        <v>30</v>
      </c>
      <c r="L9" s="160"/>
      <c r="M9" s="14"/>
      <c r="N9" s="160">
        <v>30</v>
      </c>
      <c r="O9" s="160"/>
      <c r="U9" s="97"/>
      <c r="V9" s="97"/>
      <c r="W9" s="97"/>
    </row>
    <row r="10" spans="2:24" ht="15" customHeight="1">
      <c r="B10" s="93" t="s">
        <v>10</v>
      </c>
      <c r="C10" s="93"/>
      <c r="E10" s="160"/>
      <c r="F10" s="160"/>
      <c r="G10" s="15"/>
      <c r="H10" s="160"/>
      <c r="I10" s="160"/>
      <c r="J10" s="15"/>
      <c r="K10" s="160"/>
      <c r="L10" s="160"/>
      <c r="M10" s="15"/>
      <c r="N10" s="160"/>
      <c r="O10" s="160"/>
      <c r="U10" s="97"/>
      <c r="V10" s="97"/>
      <c r="W10" s="97"/>
    </row>
    <row r="11" spans="2:24" ht="15" customHeight="1">
      <c r="B11" s="93"/>
      <c r="C11" s="93"/>
      <c r="E11" s="160"/>
      <c r="F11" s="160"/>
      <c r="G11" s="15"/>
      <c r="H11" s="160"/>
      <c r="I11" s="160"/>
      <c r="J11" s="15"/>
      <c r="K11" s="160"/>
      <c r="L11" s="160"/>
      <c r="M11" s="15"/>
      <c r="N11" s="160"/>
      <c r="O11" s="160"/>
      <c r="U11" s="40"/>
      <c r="V11" s="40"/>
      <c r="W11" s="40"/>
    </row>
    <row r="12" spans="2:24" ht="15" customHeight="1">
      <c r="B12" s="93" t="s">
        <v>11</v>
      </c>
      <c r="C12" s="93"/>
      <c r="E12" s="159" t="s">
        <v>48</v>
      </c>
      <c r="F12" s="159"/>
      <c r="G12" s="16"/>
      <c r="H12" s="159" t="s">
        <v>49</v>
      </c>
      <c r="I12" s="159"/>
      <c r="J12" s="16"/>
      <c r="K12" s="159" t="s">
        <v>50</v>
      </c>
      <c r="L12" s="159"/>
      <c r="M12" s="16"/>
      <c r="N12" s="159" t="s">
        <v>51</v>
      </c>
      <c r="O12" s="159"/>
      <c r="U12" s="98" t="s">
        <v>21</v>
      </c>
      <c r="V12" s="98"/>
      <c r="W12" s="98"/>
    </row>
    <row r="13" spans="2:24" ht="19.5">
      <c r="B13" s="93"/>
      <c r="C13" s="93"/>
      <c r="E13" s="159"/>
      <c r="F13" s="159"/>
      <c r="G13" s="16"/>
      <c r="H13" s="159"/>
      <c r="I13" s="159"/>
      <c r="J13" s="16"/>
      <c r="K13" s="159"/>
      <c r="L13" s="159"/>
      <c r="M13" s="16"/>
      <c r="N13" s="159"/>
      <c r="O13" s="159"/>
      <c r="U13" s="98"/>
      <c r="V13" s="98"/>
      <c r="W13" s="98"/>
    </row>
    <row r="14" spans="2:24" ht="19.5">
      <c r="B14" s="93" t="s">
        <v>12</v>
      </c>
      <c r="C14" s="93"/>
      <c r="E14" s="159"/>
      <c r="F14" s="159"/>
      <c r="H14" s="159"/>
      <c r="I14" s="159"/>
      <c r="K14" s="159"/>
      <c r="L14" s="159"/>
      <c r="N14" s="159"/>
      <c r="O14" s="159"/>
      <c r="U14" s="40"/>
      <c r="V14" s="40"/>
      <c r="W14" s="40"/>
    </row>
    <row r="15" spans="2:24" ht="19.5">
      <c r="B15" s="93"/>
      <c r="C15" s="93"/>
      <c r="H15" s="75">
        <f>+H9*25%</f>
        <v>37.75</v>
      </c>
      <c r="I15" s="75">
        <f>+IF(H9&lt;10,H9,IF(H15&lt;10,10,H15))</f>
        <v>37.75</v>
      </c>
    </row>
    <row r="16" spans="2:24" ht="15.75" customHeight="1" thickBot="1">
      <c r="B16" s="93" t="s">
        <v>17</v>
      </c>
      <c r="C16" s="93"/>
      <c r="U16" s="99" t="s">
        <v>52</v>
      </c>
      <c r="V16" s="99"/>
      <c r="W16" s="99"/>
      <c r="X16" s="99"/>
    </row>
    <row r="17" spans="2:24" ht="15" customHeight="1">
      <c r="B17" s="93"/>
      <c r="C17" s="93"/>
      <c r="E17" s="138" t="str">
        <f>"Seleccione una muestra de "&amp;I15&amp;" abogados activos y complete los siguientes datos:"</f>
        <v>Seleccione una muestra de 37,75 abogados activos y complete los siguientes datos:</v>
      </c>
      <c r="F17" s="139"/>
      <c r="G17" s="139"/>
      <c r="H17" s="139"/>
      <c r="I17" s="139"/>
      <c r="J17" s="140"/>
      <c r="M17" s="138" t="s">
        <v>53</v>
      </c>
      <c r="N17" s="139"/>
      <c r="O17" s="139"/>
      <c r="P17" s="139"/>
      <c r="Q17" s="139"/>
      <c r="R17" s="140"/>
      <c r="U17" s="99"/>
      <c r="V17" s="99"/>
      <c r="W17" s="99"/>
      <c r="X17" s="99"/>
    </row>
    <row r="18" spans="2:24" ht="19.5">
      <c r="B18" s="93" t="s">
        <v>18</v>
      </c>
      <c r="C18" s="93"/>
      <c r="E18" s="141"/>
      <c r="F18" s="142"/>
      <c r="G18" s="142"/>
      <c r="H18" s="142"/>
      <c r="I18" s="142"/>
      <c r="J18" s="143"/>
      <c r="M18" s="141"/>
      <c r="N18" s="142"/>
      <c r="O18" s="142"/>
      <c r="P18" s="142"/>
      <c r="Q18" s="142"/>
      <c r="R18" s="143"/>
      <c r="U18" s="99"/>
      <c r="V18" s="99"/>
      <c r="W18" s="99"/>
      <c r="X18" s="99"/>
    </row>
    <row r="19" spans="2:24" ht="19.5">
      <c r="B19" s="93"/>
      <c r="C19" s="93"/>
      <c r="E19" s="161" t="str">
        <f>"De la muestra de "&amp;I15&amp;", cuantos tienen el nombre correcto"</f>
        <v>De la muestra de 37,75, cuantos tienen el nombre correcto</v>
      </c>
      <c r="F19" s="99"/>
      <c r="G19" s="99"/>
      <c r="H19" s="99"/>
      <c r="I19" s="150">
        <v>37</v>
      </c>
      <c r="J19" s="151"/>
      <c r="M19" s="144" t="s">
        <v>54</v>
      </c>
      <c r="N19" s="145"/>
      <c r="O19" s="145"/>
      <c r="P19" s="145"/>
      <c r="Q19" s="150">
        <v>65</v>
      </c>
      <c r="R19" s="151"/>
      <c r="U19" s="99"/>
      <c r="V19" s="99"/>
      <c r="W19" s="99"/>
      <c r="X19" s="99"/>
    </row>
    <row r="20" spans="2:24" ht="19.5">
      <c r="B20" s="93" t="s">
        <v>19</v>
      </c>
      <c r="C20" s="93"/>
      <c r="E20" s="161"/>
      <c r="F20" s="99"/>
      <c r="G20" s="99"/>
      <c r="H20" s="99"/>
      <c r="I20" s="150"/>
      <c r="J20" s="151"/>
      <c r="M20" s="144"/>
      <c r="N20" s="145"/>
      <c r="O20" s="145"/>
      <c r="P20" s="145"/>
      <c r="Q20" s="150"/>
      <c r="R20" s="151"/>
      <c r="S20" s="81">
        <f>+Q19*2</f>
        <v>130</v>
      </c>
      <c r="U20" s="99"/>
      <c r="V20" s="99"/>
      <c r="W20" s="99"/>
      <c r="X20" s="99"/>
    </row>
    <row r="21" spans="2:24">
      <c r="E21" s="162" t="str">
        <f>"De la muestra de "&amp;I15&amp;", cuantos tienen el correo electrónico correcto"</f>
        <v>De la muestra de 37,75, cuantos tienen el correo electrónico correcto</v>
      </c>
      <c r="F21" s="163"/>
      <c r="G21" s="163"/>
      <c r="H21" s="163"/>
      <c r="I21" s="152">
        <v>29</v>
      </c>
      <c r="J21" s="153"/>
      <c r="M21" s="146" t="s">
        <v>55</v>
      </c>
      <c r="N21" s="147"/>
      <c r="O21" s="147"/>
      <c r="P21" s="147"/>
      <c r="Q21" s="152">
        <v>86</v>
      </c>
      <c r="R21" s="153"/>
      <c r="S21" s="75"/>
      <c r="U21" s="99"/>
      <c r="V21" s="99"/>
      <c r="W21" s="99"/>
      <c r="X21" s="99"/>
    </row>
    <row r="22" spans="2:24">
      <c r="E22" s="162"/>
      <c r="F22" s="163"/>
      <c r="G22" s="163"/>
      <c r="H22" s="163"/>
      <c r="I22" s="152"/>
      <c r="J22" s="153"/>
      <c r="M22" s="146"/>
      <c r="N22" s="147"/>
      <c r="O22" s="147"/>
      <c r="P22" s="147"/>
      <c r="Q22" s="152"/>
      <c r="R22" s="153"/>
      <c r="S22" s="81">
        <f>+Q21*1</f>
        <v>86</v>
      </c>
      <c r="U22" s="99"/>
      <c r="V22" s="99"/>
      <c r="W22" s="99"/>
      <c r="X22" s="99"/>
    </row>
    <row r="23" spans="2:24" ht="15" customHeight="1">
      <c r="E23" s="161" t="str">
        <f>"De la muestra de "&amp;I15&amp;", cuantos tienen la fecha de nacimiento correcta"</f>
        <v>De la muestra de 37,75, cuantos tienen la fecha de nacimiento correcta</v>
      </c>
      <c r="F23" s="99"/>
      <c r="G23" s="99"/>
      <c r="H23" s="99"/>
      <c r="I23" s="150">
        <v>22</v>
      </c>
      <c r="J23" s="151"/>
      <c r="M23" s="144" t="s">
        <v>56</v>
      </c>
      <c r="N23" s="145"/>
      <c r="O23" s="145"/>
      <c r="P23" s="145"/>
      <c r="Q23" s="150">
        <v>0</v>
      </c>
      <c r="R23" s="151"/>
      <c r="S23" s="75"/>
      <c r="U23" s="99"/>
      <c r="V23" s="99"/>
      <c r="W23" s="99"/>
      <c r="X23" s="99"/>
    </row>
    <row r="24" spans="2:24" ht="15.75" thickBot="1">
      <c r="E24" s="164"/>
      <c r="F24" s="165"/>
      <c r="G24" s="165"/>
      <c r="H24" s="165"/>
      <c r="I24" s="168"/>
      <c r="J24" s="169"/>
      <c r="M24" s="144"/>
      <c r="N24" s="145"/>
      <c r="O24" s="145"/>
      <c r="P24" s="145"/>
      <c r="Q24" s="150"/>
      <c r="R24" s="151"/>
      <c r="S24" s="81">
        <f>IFERROR(LOOKUP(P23,Administrador!$L$9:$L$11,Administrador!$M$9:$M$11),0)</f>
        <v>0</v>
      </c>
      <c r="U24" s="99"/>
      <c r="V24" s="99"/>
      <c r="W24" s="99"/>
      <c r="X24" s="99"/>
    </row>
    <row r="25" spans="2:24">
      <c r="M25" s="146" t="s">
        <v>57</v>
      </c>
      <c r="N25" s="147"/>
      <c r="O25" s="147"/>
      <c r="P25" s="147"/>
      <c r="Q25" s="152">
        <v>0</v>
      </c>
      <c r="R25" s="153"/>
      <c r="S25" s="75"/>
      <c r="U25" s="99"/>
      <c r="V25" s="99"/>
      <c r="W25" s="99"/>
      <c r="X25" s="99"/>
    </row>
    <row r="26" spans="2:24" ht="15.75" thickBot="1">
      <c r="M26" s="148"/>
      <c r="N26" s="149"/>
      <c r="O26" s="149"/>
      <c r="P26" s="149"/>
      <c r="Q26" s="154"/>
      <c r="R26" s="155"/>
      <c r="S26" s="81">
        <f>IFERROR(LOOKUP(P25,Administrador!$L$9:$L$11,Administrador!$M$9:$M$11),0)</f>
        <v>0</v>
      </c>
      <c r="U26" s="99"/>
      <c r="V26" s="99"/>
      <c r="W26" s="99"/>
      <c r="X26" s="99"/>
    </row>
    <row r="28" spans="2:24" ht="15" customHeight="1">
      <c r="U28" s="137" t="s">
        <v>58</v>
      </c>
      <c r="V28" s="137"/>
      <c r="W28" s="137"/>
      <c r="X28" s="137"/>
    </row>
    <row r="29" spans="2:24">
      <c r="E29" s="167" t="s">
        <v>43</v>
      </c>
      <c r="F29" s="167"/>
      <c r="U29" s="137"/>
      <c r="V29" s="137"/>
      <c r="W29" s="137"/>
      <c r="X29" s="137"/>
    </row>
    <row r="30" spans="2:24">
      <c r="E30" s="121" t="s">
        <v>660</v>
      </c>
      <c r="F30" s="166"/>
      <c r="G30" s="166"/>
      <c r="H30" s="166"/>
      <c r="I30" s="166"/>
      <c r="J30" s="166"/>
      <c r="K30" s="166"/>
      <c r="L30" s="166"/>
      <c r="M30" s="166"/>
      <c r="N30" s="166"/>
      <c r="O30" s="166"/>
      <c r="P30" s="166"/>
      <c r="Q30" s="166"/>
      <c r="R30" s="166"/>
      <c r="S30" s="166"/>
      <c r="U30" s="137"/>
      <c r="V30" s="137"/>
      <c r="W30" s="137"/>
      <c r="X30" s="137"/>
    </row>
    <row r="31" spans="2:24">
      <c r="E31" s="166"/>
      <c r="F31" s="166"/>
      <c r="G31" s="166"/>
      <c r="H31" s="166"/>
      <c r="I31" s="166"/>
      <c r="J31" s="166"/>
      <c r="K31" s="166"/>
      <c r="L31" s="166"/>
      <c r="M31" s="166"/>
      <c r="N31" s="166"/>
      <c r="O31" s="166"/>
      <c r="P31" s="166"/>
      <c r="Q31" s="166"/>
      <c r="R31" s="166"/>
      <c r="S31" s="166"/>
      <c r="U31" s="137"/>
      <c r="V31" s="137"/>
      <c r="W31" s="137"/>
      <c r="X31" s="137"/>
    </row>
    <row r="32" spans="2:24">
      <c r="E32" s="166"/>
      <c r="F32" s="166"/>
      <c r="G32" s="166"/>
      <c r="H32" s="166"/>
      <c r="I32" s="166"/>
      <c r="J32" s="166"/>
      <c r="K32" s="166"/>
      <c r="L32" s="166"/>
      <c r="M32" s="166"/>
      <c r="N32" s="166"/>
      <c r="O32" s="166"/>
      <c r="P32" s="166"/>
      <c r="Q32" s="166"/>
      <c r="R32" s="166"/>
      <c r="S32" s="166"/>
      <c r="U32" s="137"/>
      <c r="V32" s="137"/>
      <c r="W32" s="137"/>
      <c r="X32" s="137"/>
    </row>
    <row r="33" spans="5:24">
      <c r="E33" s="166"/>
      <c r="F33" s="166"/>
      <c r="G33" s="166"/>
      <c r="H33" s="166"/>
      <c r="I33" s="166"/>
      <c r="J33" s="166"/>
      <c r="K33" s="166"/>
      <c r="L33" s="166"/>
      <c r="M33" s="166"/>
      <c r="N33" s="166"/>
      <c r="O33" s="166"/>
      <c r="P33" s="166"/>
      <c r="Q33" s="166"/>
      <c r="R33" s="166"/>
      <c r="S33" s="166"/>
      <c r="U33" s="137"/>
      <c r="V33" s="137"/>
      <c r="W33" s="137"/>
      <c r="X33" s="137"/>
    </row>
    <row r="34" spans="5:24">
      <c r="U34" s="137"/>
      <c r="V34" s="137"/>
      <c r="W34" s="137"/>
      <c r="X34" s="137"/>
    </row>
    <row r="35" spans="5:24" ht="19.5">
      <c r="E35" s="12"/>
      <c r="F35" s="12"/>
      <c r="G35" s="12"/>
      <c r="H35" s="12"/>
      <c r="I35" s="55"/>
      <c r="U35" s="137"/>
      <c r="V35" s="137"/>
      <c r="W35" s="137"/>
      <c r="X35" s="137"/>
    </row>
    <row r="36" spans="5:24">
      <c r="E36" s="12"/>
      <c r="F36" s="12"/>
      <c r="G36" s="12"/>
      <c r="H36" s="12"/>
      <c r="U36" s="137"/>
      <c r="V36" s="137"/>
      <c r="W36" s="137"/>
      <c r="X36" s="137"/>
    </row>
    <row r="37" spans="5:24">
      <c r="U37" s="137"/>
      <c r="V37" s="137"/>
      <c r="W37" s="137"/>
      <c r="X37" s="137"/>
    </row>
    <row r="38" spans="5:24">
      <c r="U38" s="137"/>
      <c r="V38" s="137"/>
      <c r="W38" s="137"/>
      <c r="X38" s="137"/>
    </row>
    <row r="42" spans="5:24" ht="17.25" customHeight="1"/>
  </sheetData>
  <sheetProtection algorithmName="SHA-512" hashValue="Q9beNB3DuqUR+RMhsk50ORXOYgq98yUw7KIv2zgknYDoqmHGLGjlMdvMb4bBK3bdkkRQcWwCvYRIrlwpdBUtBw==" saltValue="W7Wdj7xHRvCP1WFJamARmw==" spinCount="100000" sheet="1"/>
  <mergeCells count="48">
    <mergeCell ref="E19:H20"/>
    <mergeCell ref="E21:H22"/>
    <mergeCell ref="E23:H24"/>
    <mergeCell ref="E30:S33"/>
    <mergeCell ref="E29:F29"/>
    <mergeCell ref="I19:J20"/>
    <mergeCell ref="I21:J22"/>
    <mergeCell ref="I23:J24"/>
    <mergeCell ref="B20:C20"/>
    <mergeCell ref="B8:C8"/>
    <mergeCell ref="B10:C10"/>
    <mergeCell ref="B12:C12"/>
    <mergeCell ref="B14:C14"/>
    <mergeCell ref="B11:C11"/>
    <mergeCell ref="B13:C13"/>
    <mergeCell ref="B15:C15"/>
    <mergeCell ref="B17:C17"/>
    <mergeCell ref="B19:C19"/>
    <mergeCell ref="E17:J18"/>
    <mergeCell ref="B2:C4"/>
    <mergeCell ref="B6:C6"/>
    <mergeCell ref="E9:F11"/>
    <mergeCell ref="B16:C16"/>
    <mergeCell ref="B18:C18"/>
    <mergeCell ref="E12:F14"/>
    <mergeCell ref="H9:I11"/>
    <mergeCell ref="U5:W10"/>
    <mergeCell ref="U12:W13"/>
    <mergeCell ref="E2:W3"/>
    <mergeCell ref="E5:O6"/>
    <mergeCell ref="Q5:S5"/>
    <mergeCell ref="Q6:S7"/>
    <mergeCell ref="H12:I14"/>
    <mergeCell ref="K9:L11"/>
    <mergeCell ref="K12:L14"/>
    <mergeCell ref="N9:O11"/>
    <mergeCell ref="N12:O14"/>
    <mergeCell ref="U16:X26"/>
    <mergeCell ref="U28:X38"/>
    <mergeCell ref="M17:R18"/>
    <mergeCell ref="M19:P20"/>
    <mergeCell ref="M21:P22"/>
    <mergeCell ref="M23:P24"/>
    <mergeCell ref="M25:P26"/>
    <mergeCell ref="Q19:R20"/>
    <mergeCell ref="Q21:R22"/>
    <mergeCell ref="Q23:R24"/>
    <mergeCell ref="Q25:R26"/>
  </mergeCells>
  <dataValidations xWindow="1135" yWindow="399" count="3">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I35" xr:uid="{2A9AF500-EFB1-4D89-A051-A260E8F9796B}">
      <formula1>$U$18:$U$20</formula1>
    </dataValidation>
    <dataValidation allowBlank="1" showInputMessage="1" showErrorMessage="1" prompt="Indique si tiene o no el Rol asignado Activo en el aplicativo Ekogui, un usuario puede tener uno o mas Roles Activos en el sistema. Relacionar los que apliquen. Si el Rol No aplica para su entidad Seleccione N/A" sqref="E9:F11" xr:uid="{77F0F486-54E2-483E-8A80-A6BB4ED29308}"/>
    <dataValidation type="date" allowBlank="1" showInputMessage="1" showErrorMessage="1" promptTitle="Generación del reporte" prompt="Diligenciar la fecha de consulta en el sistema eKOGUI de la información a ingresar en esta hoja.  Formato (DD/MM/AAAA)" sqref="Q6:S7" xr:uid="{55C56DB1-BF26-4942-B25E-00140FDB23CE}">
      <formula1>44927</formula1>
      <formula2>47484</formula2>
    </dataValidation>
  </dataValidations>
  <hyperlinks>
    <hyperlink ref="B10:C10" location="Abogados!A1" display="Abogados" xr:uid="{69788417-DC8F-41F0-867E-0FEB2CCA9C37}"/>
    <hyperlink ref="B12:C12" location="Judiciales!A1" display="Judiciales" xr:uid="{79032A05-2CFE-46C0-B4D1-DAF26C7FFDB2}"/>
    <hyperlink ref="B18:C18" location="Pagos!A1" display="Pagos" xr:uid="{1EBD2C7E-D7E5-4483-9255-6B908B635DB0}"/>
    <hyperlink ref="B8:C8" location="Usuarios!A1" display="Usuarios" xr:uid="{ED952548-B18A-4899-848C-E75469182874}"/>
    <hyperlink ref="B16:C16" location="'Comité de conciliación'!A1" display="Comité de conciliación" xr:uid="{197D26D2-569C-493D-B3BE-9F9FEAFF6809}"/>
    <hyperlink ref="B20:C20" location="Resumen!A1" display="Resumen general" xr:uid="{6968133E-AEDC-498A-99D9-3333493A3A1D}"/>
    <hyperlink ref="B14:C14" location="Arbitramentos!A1" display="Arbitramentos" xr:uid="{FA518448-EA3F-4CE2-8A8C-DFD8526C0889}"/>
    <hyperlink ref="B6:C6" location="Portada!A1" display="Portada" xr:uid="{9F79E8AE-409B-4A47-BF9F-67E6E9372AA7}"/>
    <hyperlink ref="U12:W13" r:id="rId1" display="Acceder al manual" xr:uid="{7EB9EE1F-E05D-45F0-B9BE-AD9DC52757ED}"/>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037BE-5646-4954-BFC5-1DD38CB8BF9E}">
  <dimension ref="B2:Y38"/>
  <sheetViews>
    <sheetView topLeftCell="B1" zoomScaleNormal="100" workbookViewId="0">
      <selection activeCell="B10" sqref="B10:C10"/>
    </sheetView>
  </sheetViews>
  <sheetFormatPr baseColWidth="10" defaultColWidth="11.42578125" defaultRowHeight="15"/>
  <cols>
    <col min="1" max="1" width="0" style="2" hidden="1" customWidth="1"/>
    <col min="2" max="3" width="16.28515625" style="4" customWidth="1"/>
    <col min="4" max="10" width="9.140625" style="2" customWidth="1"/>
    <col min="11" max="11" width="12.85546875" style="2" customWidth="1"/>
    <col min="12" max="53" width="9.140625" style="2" customWidth="1"/>
    <col min="54" max="16384" width="11.42578125" style="2"/>
  </cols>
  <sheetData>
    <row r="2" spans="2:25">
      <c r="B2" s="92"/>
      <c r="C2" s="92"/>
      <c r="E2" s="89" t="s">
        <v>59</v>
      </c>
      <c r="F2" s="89"/>
      <c r="G2" s="89"/>
      <c r="H2" s="89"/>
      <c r="I2" s="89"/>
      <c r="J2" s="89"/>
      <c r="K2" s="89"/>
      <c r="L2" s="89"/>
      <c r="M2" s="89"/>
      <c r="N2" s="89"/>
      <c r="O2" s="89"/>
      <c r="P2" s="89"/>
      <c r="Q2" s="89"/>
      <c r="R2" s="89"/>
      <c r="S2" s="89"/>
      <c r="T2" s="89"/>
      <c r="U2" s="89"/>
      <c r="V2" s="89"/>
      <c r="W2" s="89"/>
      <c r="X2" s="89"/>
      <c r="Y2" s="89"/>
    </row>
    <row r="3" spans="2:25" ht="15.75" thickBot="1">
      <c r="B3" s="92"/>
      <c r="C3" s="92"/>
      <c r="E3" s="90"/>
      <c r="F3" s="90"/>
      <c r="G3" s="90"/>
      <c r="H3" s="90"/>
      <c r="I3" s="90"/>
      <c r="J3" s="90"/>
      <c r="K3" s="90"/>
      <c r="L3" s="90"/>
      <c r="M3" s="90"/>
      <c r="N3" s="90"/>
      <c r="O3" s="90"/>
      <c r="P3" s="90"/>
      <c r="Q3" s="90"/>
      <c r="R3" s="90"/>
      <c r="S3" s="90"/>
      <c r="T3" s="90"/>
      <c r="U3" s="90"/>
      <c r="V3" s="90"/>
      <c r="W3" s="90"/>
      <c r="X3" s="90"/>
      <c r="Y3" s="90"/>
    </row>
    <row r="4" spans="2:25">
      <c r="B4" s="92"/>
      <c r="C4" s="92"/>
    </row>
    <row r="5" spans="2:25">
      <c r="E5" s="158" t="s">
        <v>60</v>
      </c>
      <c r="F5" s="176"/>
      <c r="G5" s="176"/>
      <c r="H5" s="176"/>
      <c r="I5" s="176"/>
      <c r="J5" s="176"/>
      <c r="K5" s="176"/>
      <c r="L5" s="176"/>
      <c r="M5" s="176"/>
      <c r="N5" s="176"/>
      <c r="O5" s="176"/>
      <c r="P5" s="176"/>
      <c r="Q5" s="176"/>
      <c r="R5" s="176"/>
      <c r="S5" s="176"/>
    </row>
    <row r="6" spans="2:25">
      <c r="B6" s="180" t="s">
        <v>8</v>
      </c>
      <c r="C6" s="180"/>
      <c r="E6" s="176"/>
      <c r="F6" s="176"/>
      <c r="G6" s="176"/>
      <c r="H6" s="176"/>
      <c r="I6" s="176"/>
      <c r="J6" s="176"/>
      <c r="K6" s="176"/>
      <c r="L6" s="176"/>
      <c r="M6" s="176"/>
      <c r="N6" s="176"/>
      <c r="O6" s="176"/>
      <c r="P6" s="176"/>
      <c r="Q6" s="176"/>
      <c r="R6" s="176"/>
      <c r="S6" s="176"/>
    </row>
    <row r="7" spans="2:25">
      <c r="B7" s="3"/>
      <c r="C7" s="3"/>
      <c r="E7" s="173" t="str">
        <f>"Conciliaciones extrajudiciales activos al 31-12-"&amp;Administrador!A27</f>
        <v>Conciliaciones extrajudiciales activos al 31-12-2024</v>
      </c>
      <c r="F7" s="173"/>
      <c r="G7" s="173"/>
      <c r="H7" s="173"/>
      <c r="I7" s="173"/>
      <c r="J7" s="173"/>
      <c r="K7" s="174"/>
      <c r="L7" s="173" t="s">
        <v>61</v>
      </c>
    </row>
    <row r="8" spans="2:25" ht="15" customHeight="1">
      <c r="B8" s="170" t="s">
        <v>10</v>
      </c>
      <c r="C8" s="170"/>
      <c r="E8" s="173"/>
      <c r="F8" s="173"/>
      <c r="G8" s="173"/>
      <c r="H8" s="173"/>
      <c r="I8" s="173"/>
      <c r="J8" s="173"/>
      <c r="K8" s="174"/>
      <c r="L8" s="173"/>
      <c r="N8" s="159" t="str">
        <f>"Seleccione una muestra de "&amp;L11&amp;" conciliaciones extrajudiciales activas realizadas antes y hasta el 30-06-"&amp;Administrador!A27&amp;" (más de 6 meses) y complete la siguiente tabla"</f>
        <v>Seleccione una muestra de  conciliaciones extrajudiciales activas realizadas antes y hasta el 30-06-2024 (más de 6 meses) y complete la siguiente tabla</v>
      </c>
      <c r="O8" s="159"/>
      <c r="P8" s="159"/>
      <c r="Q8" s="159"/>
      <c r="R8" s="159"/>
      <c r="S8" s="159"/>
      <c r="T8" s="159"/>
      <c r="U8" s="159"/>
      <c r="V8" s="42"/>
    </row>
    <row r="9" spans="2:25">
      <c r="B9" s="56"/>
      <c r="C9" s="56"/>
      <c r="E9" s="171" t="s">
        <v>62</v>
      </c>
      <c r="F9" s="171"/>
      <c r="G9" s="171"/>
      <c r="H9" s="171"/>
      <c r="I9" s="171"/>
      <c r="J9" s="171"/>
      <c r="K9" s="172"/>
      <c r="L9" s="101"/>
      <c r="N9" s="159"/>
      <c r="O9" s="159"/>
      <c r="P9" s="159"/>
      <c r="Q9" s="159"/>
      <c r="R9" s="159"/>
      <c r="S9" s="159"/>
      <c r="T9" s="159"/>
      <c r="U9" s="159"/>
      <c r="V9" s="42"/>
    </row>
    <row r="10" spans="2:25">
      <c r="B10" s="181" t="s">
        <v>59</v>
      </c>
      <c r="C10" s="181"/>
      <c r="E10" s="171"/>
      <c r="F10" s="171"/>
      <c r="G10" s="171"/>
      <c r="H10" s="171"/>
      <c r="I10" s="171"/>
      <c r="J10" s="171"/>
      <c r="K10" s="172"/>
      <c r="L10" s="101"/>
      <c r="N10" s="159"/>
      <c r="O10" s="159"/>
      <c r="P10" s="159"/>
      <c r="Q10" s="159"/>
      <c r="R10" s="159"/>
      <c r="S10" s="159"/>
      <c r="T10" s="159"/>
      <c r="U10" s="159"/>
      <c r="V10" s="42"/>
      <c r="W10" s="96" t="s">
        <v>63</v>
      </c>
      <c r="X10" s="96"/>
      <c r="Y10" s="96"/>
    </row>
    <row r="11" spans="2:25" ht="15" customHeight="1">
      <c r="B11" s="67"/>
      <c r="C11" s="67"/>
      <c r="E11" s="177" t="s">
        <v>64</v>
      </c>
      <c r="F11" s="177"/>
      <c r="G11" s="177"/>
      <c r="H11" s="177"/>
      <c r="I11" s="177"/>
      <c r="J11" s="177"/>
      <c r="K11" s="178"/>
      <c r="L11" s="185"/>
      <c r="N11" s="65"/>
      <c r="O11" s="65"/>
      <c r="P11" s="65"/>
      <c r="Q11" s="65"/>
      <c r="R11" s="65"/>
      <c r="S11" s="65"/>
      <c r="T11" s="65"/>
      <c r="U11" s="65"/>
      <c r="W11" s="96"/>
      <c r="X11" s="96"/>
      <c r="Y11" s="96"/>
    </row>
    <row r="12" spans="2:25">
      <c r="B12" s="170" t="s">
        <v>17</v>
      </c>
      <c r="C12" s="170"/>
      <c r="E12" s="177"/>
      <c r="F12" s="177"/>
      <c r="G12" s="177"/>
      <c r="H12" s="177"/>
      <c r="I12" s="177"/>
      <c r="J12" s="177"/>
      <c r="K12" s="178"/>
      <c r="L12" s="185"/>
      <c r="N12" s="159" t="s">
        <v>65</v>
      </c>
      <c r="O12" s="159"/>
      <c r="P12" s="159"/>
      <c r="Q12" s="159"/>
      <c r="R12" s="159"/>
      <c r="S12" s="179"/>
      <c r="T12" s="159" t="s">
        <v>66</v>
      </c>
      <c r="U12" s="159"/>
      <c r="V12" s="17"/>
      <c r="W12" s="96"/>
      <c r="X12" s="96"/>
      <c r="Y12" s="96"/>
    </row>
    <row r="13" spans="2:25">
      <c r="B13" s="67"/>
      <c r="C13" s="67"/>
      <c r="E13" s="171" t="str">
        <f>"Registro durante"&amp;" "&amp;Administrador!B16&amp;" semestre de "&amp;Administrador!A27</f>
        <v>Registro durante II - 2024 semestre de 2024</v>
      </c>
      <c r="F13" s="171"/>
      <c r="G13" s="171"/>
      <c r="H13" s="171"/>
      <c r="I13" s="171"/>
      <c r="J13" s="171"/>
      <c r="K13" s="172"/>
      <c r="L13" s="101"/>
      <c r="N13" s="159"/>
      <c r="O13" s="159"/>
      <c r="P13" s="159"/>
      <c r="Q13" s="159"/>
      <c r="R13" s="159"/>
      <c r="S13" s="179"/>
      <c r="T13" s="159"/>
      <c r="U13" s="159"/>
      <c r="V13" s="17"/>
      <c r="W13" s="96"/>
      <c r="X13" s="96"/>
      <c r="Y13" s="96"/>
    </row>
    <row r="14" spans="2:25">
      <c r="B14" s="170" t="s">
        <v>11</v>
      </c>
      <c r="C14" s="170"/>
      <c r="E14" s="171"/>
      <c r="F14" s="171"/>
      <c r="G14" s="171"/>
      <c r="H14" s="171"/>
      <c r="I14" s="171"/>
      <c r="J14" s="171"/>
      <c r="K14" s="172"/>
      <c r="L14" s="101"/>
      <c r="N14" s="101" t="s">
        <v>67</v>
      </c>
      <c r="O14" s="101"/>
      <c r="P14" s="101"/>
      <c r="Q14" s="101"/>
      <c r="R14" s="101"/>
      <c r="S14" s="186"/>
      <c r="T14" s="101"/>
      <c r="U14" s="101"/>
      <c r="V14" s="17"/>
      <c r="W14" s="96"/>
      <c r="X14" s="96"/>
      <c r="Y14" s="96"/>
    </row>
    <row r="15" spans="2:25">
      <c r="B15" s="67"/>
      <c r="C15" s="67"/>
      <c r="E15" s="177" t="str">
        <f>IF(Administrador!B16="1er","Registro durante 2do semestre de "&amp;Administrador!A27-1,"Registro durante 1er semestre de "&amp;Administrador!A27)</f>
        <v>Registro durante 1er semestre de 2024</v>
      </c>
      <c r="F15" s="177"/>
      <c r="G15" s="177"/>
      <c r="H15" s="177"/>
      <c r="I15" s="177"/>
      <c r="J15" s="177"/>
      <c r="K15" s="178"/>
      <c r="L15" s="20"/>
      <c r="N15" s="101"/>
      <c r="O15" s="101"/>
      <c r="P15" s="101"/>
      <c r="Q15" s="101"/>
      <c r="R15" s="101"/>
      <c r="S15" s="186"/>
      <c r="T15" s="101"/>
      <c r="U15" s="101"/>
      <c r="V15" s="17"/>
      <c r="W15" s="96"/>
      <c r="X15" s="96"/>
      <c r="Y15" s="96"/>
    </row>
    <row r="16" spans="2:25">
      <c r="B16" s="170" t="s">
        <v>12</v>
      </c>
      <c r="C16" s="170"/>
      <c r="E16" s="177"/>
      <c r="F16" s="177"/>
      <c r="G16" s="177"/>
      <c r="H16" s="177"/>
      <c r="I16" s="177"/>
      <c r="J16" s="177"/>
      <c r="K16" s="178"/>
      <c r="L16" s="20"/>
      <c r="N16" s="187" t="s">
        <v>68</v>
      </c>
      <c r="O16" s="187"/>
      <c r="P16" s="187"/>
      <c r="Q16" s="187"/>
      <c r="R16" s="187"/>
      <c r="S16" s="188"/>
      <c r="T16" s="187"/>
      <c r="U16" s="187"/>
      <c r="W16" s="96"/>
      <c r="X16" s="96"/>
      <c r="Y16" s="96"/>
    </row>
    <row r="17" spans="2:25">
      <c r="B17" s="67"/>
      <c r="C17" s="67"/>
      <c r="E17" s="171" t="str">
        <f>IF(MID(E15,18,1)="1","Registro en 2do semestre de "&amp;RIGHT(E15,4)-1&amp;" y anteriores","Registro en 1er semestre de "&amp;RIGHT(E15,4))</f>
        <v>Registro en 2do semestre de 2023 y anteriores</v>
      </c>
      <c r="F17" s="171"/>
      <c r="G17" s="171"/>
      <c r="H17" s="171"/>
      <c r="I17" s="171"/>
      <c r="J17" s="171"/>
      <c r="K17" s="172"/>
      <c r="L17" s="101"/>
      <c r="N17" s="187"/>
      <c r="O17" s="187"/>
      <c r="P17" s="187"/>
      <c r="Q17" s="187"/>
      <c r="R17" s="187"/>
      <c r="S17" s="188"/>
      <c r="T17" s="187"/>
      <c r="U17" s="187"/>
      <c r="W17" s="40"/>
      <c r="X17" s="40"/>
      <c r="Y17" s="40"/>
    </row>
    <row r="18" spans="2:25">
      <c r="B18" s="170" t="s">
        <v>18</v>
      </c>
      <c r="C18" s="170"/>
      <c r="E18" s="171"/>
      <c r="F18" s="171"/>
      <c r="G18" s="171"/>
      <c r="H18" s="171"/>
      <c r="I18" s="171"/>
      <c r="J18" s="171"/>
      <c r="K18" s="172"/>
      <c r="L18" s="101"/>
      <c r="W18" s="182" t="s">
        <v>21</v>
      </c>
      <c r="X18" s="182"/>
      <c r="Y18" s="182"/>
    </row>
    <row r="19" spans="2:25">
      <c r="B19" s="67"/>
      <c r="C19" s="67"/>
      <c r="W19" s="182"/>
      <c r="X19" s="182"/>
      <c r="Y19" s="182"/>
    </row>
    <row r="20" spans="2:25">
      <c r="B20" s="170" t="s">
        <v>19</v>
      </c>
      <c r="C20" s="170"/>
      <c r="E20" s="173" t="str">
        <f>"Concialiaciones extrajudiciales terminadas 2do semestre "&amp;Administrador!A27</f>
        <v>Concialiaciones extrajudiciales terminadas 2do semestre 2024</v>
      </c>
      <c r="F20" s="173"/>
      <c r="G20" s="173"/>
      <c r="H20" s="173"/>
      <c r="I20" s="173"/>
      <c r="J20" s="173"/>
      <c r="K20" s="174"/>
      <c r="L20" s="175"/>
      <c r="W20" s="40"/>
      <c r="X20" s="40"/>
      <c r="Y20" s="40"/>
    </row>
    <row r="21" spans="2:25">
      <c r="E21" s="173"/>
      <c r="F21" s="173"/>
      <c r="G21" s="173"/>
      <c r="H21" s="173"/>
      <c r="I21" s="173"/>
      <c r="J21" s="173"/>
      <c r="K21" s="174"/>
      <c r="L21" s="175"/>
      <c r="W21" s="17"/>
    </row>
    <row r="22" spans="2:25">
      <c r="E22" s="171" t="str">
        <f>"Total conciliaciones extrajudiciales terminadas "&amp;Administrador!B16&amp;" semestre de "&amp;Administrador!A27&amp;" según jurídica"</f>
        <v>Total conciliaciones extrajudiciales terminadas II - 2024 semestre de 2024 según jurídica</v>
      </c>
      <c r="F22" s="171"/>
      <c r="G22" s="171"/>
      <c r="H22" s="171"/>
      <c r="I22" s="171"/>
      <c r="J22" s="171"/>
      <c r="K22" s="172"/>
      <c r="L22" s="101"/>
    </row>
    <row r="23" spans="2:25">
      <c r="E23" s="171"/>
      <c r="F23" s="171"/>
      <c r="G23" s="171"/>
      <c r="H23" s="171"/>
      <c r="I23" s="171"/>
      <c r="J23" s="171"/>
      <c r="K23" s="172"/>
      <c r="L23" s="101"/>
      <c r="N23" s="100" t="s">
        <v>43</v>
      </c>
      <c r="O23" s="100"/>
    </row>
    <row r="24" spans="2:25">
      <c r="E24" s="177" t="str">
        <f>"Terminado en eKogui última actuación "&amp;Administrador!B16&amp;" semestre de "&amp;Administrador!A27&amp;""</f>
        <v>Terminado en eKogui última actuación II - 2024 semestre de 2024</v>
      </c>
      <c r="F24" s="177"/>
      <c r="G24" s="177"/>
      <c r="H24" s="177"/>
      <c r="I24" s="177"/>
      <c r="J24" s="177"/>
      <c r="K24" s="178"/>
      <c r="L24" s="20"/>
      <c r="N24" s="100"/>
      <c r="O24" s="100"/>
    </row>
    <row r="25" spans="2:25">
      <c r="E25" s="177"/>
      <c r="F25" s="177"/>
      <c r="G25" s="177"/>
      <c r="H25" s="177"/>
      <c r="I25" s="177"/>
      <c r="J25" s="177"/>
      <c r="K25" s="178"/>
      <c r="L25" s="20"/>
      <c r="N25" s="184"/>
      <c r="O25" s="184"/>
      <c r="P25" s="184"/>
      <c r="Q25" s="184"/>
      <c r="R25" s="184"/>
      <c r="S25" s="184"/>
      <c r="T25" s="184"/>
      <c r="U25" s="184"/>
    </row>
    <row r="26" spans="2:25">
      <c r="N26" s="184"/>
      <c r="O26" s="184"/>
      <c r="P26" s="184"/>
      <c r="Q26" s="184"/>
      <c r="R26" s="184"/>
      <c r="S26" s="184"/>
      <c r="T26" s="184"/>
      <c r="U26" s="184"/>
    </row>
    <row r="27" spans="2:25">
      <c r="N27" s="184"/>
      <c r="O27" s="184"/>
      <c r="P27" s="184"/>
      <c r="Q27" s="184"/>
      <c r="R27" s="184"/>
      <c r="S27" s="184"/>
      <c r="T27" s="184"/>
      <c r="U27" s="184"/>
    </row>
    <row r="29" spans="2:25" ht="19.5">
      <c r="N29" s="183"/>
      <c r="O29" s="183"/>
      <c r="P29" s="183"/>
      <c r="Q29" s="183"/>
      <c r="R29" s="55"/>
    </row>
    <row r="38" spans="19:19">
      <c r="S38" s="13"/>
    </row>
  </sheetData>
  <mergeCells count="39">
    <mergeCell ref="W18:Y19"/>
    <mergeCell ref="W10:Y16"/>
    <mergeCell ref="N29:Q29"/>
    <mergeCell ref="N23:O24"/>
    <mergeCell ref="E24:K25"/>
    <mergeCell ref="E15:K16"/>
    <mergeCell ref="E17:K18"/>
    <mergeCell ref="L17:L18"/>
    <mergeCell ref="E22:K23"/>
    <mergeCell ref="L22:L23"/>
    <mergeCell ref="N25:U27"/>
    <mergeCell ref="L11:L12"/>
    <mergeCell ref="L13:L14"/>
    <mergeCell ref="N14:S15"/>
    <mergeCell ref="N16:S17"/>
    <mergeCell ref="T16:U17"/>
    <mergeCell ref="B2:C4"/>
    <mergeCell ref="B6:C6"/>
    <mergeCell ref="B8:C8"/>
    <mergeCell ref="B10:C10"/>
    <mergeCell ref="B12:C12"/>
    <mergeCell ref="E2:Y3"/>
    <mergeCell ref="E5:S6"/>
    <mergeCell ref="E9:K10"/>
    <mergeCell ref="L9:L10"/>
    <mergeCell ref="E11:K12"/>
    <mergeCell ref="N8:U10"/>
    <mergeCell ref="E7:K8"/>
    <mergeCell ref="L7:L8"/>
    <mergeCell ref="N12:S13"/>
    <mergeCell ref="T12:U13"/>
    <mergeCell ref="T14:U15"/>
    <mergeCell ref="B16:C16"/>
    <mergeCell ref="B18:C18"/>
    <mergeCell ref="B20:C20"/>
    <mergeCell ref="E13:K14"/>
    <mergeCell ref="B14:C14"/>
    <mergeCell ref="E20:K21"/>
    <mergeCell ref="L20:L21"/>
  </mergeCells>
  <dataValidations disablePrompts="1" count="1">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R29" xr:uid="{5B8F35DF-42F4-4FAF-9B4A-887874784BA6}">
      <formula1>$U$7:$U$9</formula1>
    </dataValidation>
  </dataValidations>
  <hyperlinks>
    <hyperlink ref="B14:C14" location="JUDICIALES!A1" display="Judiciales" xr:uid="{F8B04DCC-8625-4F92-A5D9-A09695E0AA6C}"/>
    <hyperlink ref="B10:C10" location="Prejudiciales!A1" display="Prejudiciales" xr:uid="{AC1EE5AA-D468-4397-975F-ADC3CED59FAF}"/>
    <hyperlink ref="B18:C18" location="PAGOS!A1" display="Pagos" xr:uid="{726A0C59-8138-46D6-8DB8-9E29EB030FA4}"/>
    <hyperlink ref="B8:C8" location="ABOGADOS!A1" display="Abogados" xr:uid="{BC8614BB-6200-4451-BCD2-60EA66A706EF}"/>
    <hyperlink ref="B12:C12" location="'Cómite de conciliación'!A1" display="Cómite de conciliación" xr:uid="{89ABF0A4-53A7-4894-9DD9-C2A32C769702}"/>
    <hyperlink ref="B16:C16" location="Arbitramentos!A1" display="Arbitramentos" xr:uid="{81F80AC8-2E0E-4B68-9DD3-666A6CE229D5}"/>
    <hyperlink ref="B6:C6" location="Usuarios!A1" display="Usuarios" xr:uid="{277B9EA4-0407-4821-AC44-2BB7BE26141A}"/>
    <hyperlink ref="B20:C20" location="Resumen!A1" display="Resumen general" xr:uid="{DB6B01DE-4F72-485E-9002-B7C1DD3331C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504F-1E61-4489-99F9-9145D000D745}">
  <dimension ref="B2:Y30"/>
  <sheetViews>
    <sheetView topLeftCell="B6" zoomScale="115" zoomScaleNormal="115" workbookViewId="0">
      <selection activeCell="E27" sqref="E27:M30"/>
    </sheetView>
  </sheetViews>
  <sheetFormatPr baseColWidth="10" defaultColWidth="11.42578125" defaultRowHeight="15"/>
  <cols>
    <col min="1" max="1" width="0" style="2" hidden="1" customWidth="1"/>
    <col min="2" max="3" width="16.28515625" style="4" customWidth="1"/>
    <col min="4" max="8" width="9.140625" style="2" customWidth="1"/>
    <col min="9" max="9" width="14.140625" style="2" customWidth="1"/>
    <col min="10" max="41" width="9.140625" style="2" customWidth="1"/>
    <col min="42" max="16384" width="11.42578125" style="2"/>
  </cols>
  <sheetData>
    <row r="2" spans="2:25">
      <c r="B2" s="92"/>
      <c r="C2" s="92"/>
      <c r="E2" s="89" t="s">
        <v>17</v>
      </c>
      <c r="F2" s="89"/>
      <c r="G2" s="89"/>
      <c r="H2" s="89"/>
      <c r="I2" s="89"/>
      <c r="J2" s="89"/>
      <c r="K2" s="89"/>
      <c r="L2" s="89"/>
      <c r="M2" s="89"/>
      <c r="N2" s="89"/>
      <c r="O2" s="89"/>
      <c r="P2" s="89"/>
      <c r="Q2" s="89"/>
      <c r="R2" s="89"/>
      <c r="S2" s="89"/>
      <c r="T2" s="89"/>
      <c r="U2" s="89"/>
      <c r="V2" s="89"/>
      <c r="W2" s="89"/>
      <c r="X2" s="89"/>
      <c r="Y2" s="89"/>
    </row>
    <row r="3" spans="2:25" ht="15.75" thickBot="1">
      <c r="B3" s="92"/>
      <c r="C3" s="92"/>
      <c r="E3" s="90"/>
      <c r="F3" s="90"/>
      <c r="G3" s="90"/>
      <c r="H3" s="90"/>
      <c r="I3" s="90"/>
      <c r="J3" s="90"/>
      <c r="K3" s="90"/>
      <c r="L3" s="90"/>
      <c r="M3" s="90"/>
      <c r="N3" s="90"/>
      <c r="O3" s="90"/>
      <c r="P3" s="90"/>
      <c r="Q3" s="90"/>
      <c r="R3" s="90"/>
      <c r="S3" s="90"/>
      <c r="T3" s="90"/>
      <c r="U3" s="90"/>
      <c r="V3" s="90"/>
      <c r="W3" s="90"/>
      <c r="X3" s="90"/>
      <c r="Y3" s="90"/>
    </row>
    <row r="4" spans="2:25">
      <c r="B4" s="92"/>
      <c r="C4" s="92"/>
    </row>
    <row r="5" spans="2:25" ht="14.25" customHeight="1">
      <c r="E5" s="193" t="s">
        <v>69</v>
      </c>
      <c r="F5" s="193"/>
      <c r="G5" s="193"/>
      <c r="H5" s="193"/>
      <c r="I5" s="193"/>
      <c r="J5" s="193"/>
      <c r="K5" s="193"/>
      <c r="L5" s="193"/>
      <c r="M5" s="193"/>
      <c r="N5" s="193"/>
      <c r="O5" s="6"/>
      <c r="P5" s="135" t="s">
        <v>23</v>
      </c>
      <c r="Q5" s="135"/>
      <c r="R5" s="135"/>
      <c r="S5" s="6"/>
      <c r="T5" s="6"/>
    </row>
    <row r="6" spans="2:25" ht="19.5">
      <c r="B6" s="93" t="s">
        <v>4</v>
      </c>
      <c r="C6" s="93"/>
      <c r="E6" s="193"/>
      <c r="F6" s="193"/>
      <c r="G6" s="193"/>
      <c r="H6" s="193"/>
      <c r="I6" s="193"/>
      <c r="J6" s="193"/>
      <c r="K6" s="193"/>
      <c r="L6" s="193"/>
      <c r="M6" s="193"/>
      <c r="N6" s="193"/>
      <c r="O6" s="6"/>
      <c r="P6" s="136">
        <v>45702</v>
      </c>
      <c r="Q6" s="136"/>
      <c r="R6" s="136"/>
      <c r="S6" s="6"/>
      <c r="T6" s="6"/>
    </row>
    <row r="7" spans="2:25" ht="14.65" customHeight="1" thickBot="1">
      <c r="B7" s="3"/>
      <c r="C7" s="3"/>
      <c r="P7" s="136"/>
      <c r="Q7" s="136"/>
      <c r="R7" s="136"/>
      <c r="T7" s="43"/>
      <c r="U7" s="43"/>
      <c r="V7" s="43"/>
    </row>
    <row r="8" spans="2:25" ht="19.5">
      <c r="B8" s="93" t="s">
        <v>8</v>
      </c>
      <c r="C8" s="93"/>
      <c r="E8" s="189" t="str">
        <f>"Su entidad gestionó sesiones del comité de conciliación a través del sistema eKOGUI en el semestre "&amp;Portada!I6</f>
        <v>Su entidad gestionó sesiones del comité de conciliación a través del sistema eKOGUI en el semestre II - 2024</v>
      </c>
      <c r="F8" s="189"/>
      <c r="G8" s="189"/>
      <c r="H8" s="189"/>
      <c r="I8" s="189"/>
      <c r="J8" s="189"/>
      <c r="K8" s="189"/>
      <c r="L8" s="189"/>
      <c r="M8" s="189"/>
      <c r="N8" s="199" t="s">
        <v>31</v>
      </c>
      <c r="Q8" s="18"/>
      <c r="T8" s="192" t="s">
        <v>70</v>
      </c>
      <c r="U8" s="192"/>
      <c r="V8" s="192"/>
    </row>
    <row r="9" spans="2:25" ht="15.75" thickBot="1">
      <c r="B9" s="3"/>
      <c r="C9" s="3"/>
      <c r="E9" s="189"/>
      <c r="F9" s="189"/>
      <c r="G9" s="189"/>
      <c r="H9" s="189"/>
      <c r="I9" s="189"/>
      <c r="J9" s="189"/>
      <c r="K9" s="189"/>
      <c r="L9" s="189"/>
      <c r="M9" s="189"/>
      <c r="N9" s="200"/>
      <c r="T9" s="192"/>
      <c r="U9" s="192"/>
      <c r="V9" s="192"/>
    </row>
    <row r="10" spans="2:25" ht="19.5">
      <c r="B10" s="93" t="s">
        <v>10</v>
      </c>
      <c r="C10" s="93"/>
      <c r="E10" s="190" t="s">
        <v>71</v>
      </c>
      <c r="F10" s="191"/>
      <c r="G10" s="191"/>
      <c r="H10" s="191"/>
      <c r="I10" s="191"/>
      <c r="J10" s="191"/>
      <c r="K10" s="191"/>
      <c r="L10" s="191"/>
      <c r="M10" s="191"/>
      <c r="N10" s="199" t="s">
        <v>31</v>
      </c>
      <c r="T10" s="192"/>
      <c r="U10" s="192"/>
      <c r="V10" s="192"/>
    </row>
    <row r="11" spans="2:25" ht="20.25" thickBot="1">
      <c r="B11" s="93"/>
      <c r="C11" s="93"/>
      <c r="E11" s="191"/>
      <c r="F11" s="191"/>
      <c r="G11" s="191"/>
      <c r="H11" s="191"/>
      <c r="I11" s="191"/>
      <c r="J11" s="191"/>
      <c r="K11" s="191"/>
      <c r="L11" s="191"/>
      <c r="M11" s="191"/>
      <c r="N11" s="200"/>
      <c r="T11" s="192"/>
      <c r="U11" s="192"/>
      <c r="V11" s="192"/>
    </row>
    <row r="12" spans="2:25" ht="19.5">
      <c r="B12" s="93" t="s">
        <v>11</v>
      </c>
      <c r="C12" s="93"/>
      <c r="T12" s="192"/>
      <c r="U12" s="192"/>
      <c r="V12" s="192"/>
    </row>
    <row r="13" spans="2:25" ht="19.5">
      <c r="B13" s="93"/>
      <c r="C13" s="93"/>
      <c r="E13" s="194" t="s">
        <v>72</v>
      </c>
      <c r="F13" s="194"/>
      <c r="G13" s="194"/>
      <c r="H13" s="194"/>
      <c r="I13" s="194"/>
      <c r="J13" s="194"/>
      <c r="K13" s="194"/>
      <c r="L13" s="194"/>
      <c r="M13" s="194"/>
      <c r="N13" s="194"/>
      <c r="O13" s="194"/>
      <c r="T13" s="192"/>
      <c r="U13" s="192"/>
      <c r="V13" s="192"/>
    </row>
    <row r="14" spans="2:25" ht="19.5">
      <c r="B14" s="93" t="s">
        <v>12</v>
      </c>
      <c r="C14" s="93"/>
      <c r="J14" s="195" t="s">
        <v>73</v>
      </c>
      <c r="K14" s="196"/>
      <c r="L14" s="195" t="s">
        <v>74</v>
      </c>
      <c r="M14" s="196"/>
      <c r="N14" s="195" t="s">
        <v>75</v>
      </c>
      <c r="O14" s="196"/>
      <c r="P14" s="74"/>
      <c r="T14" s="40"/>
      <c r="U14" s="40"/>
      <c r="V14" s="40"/>
    </row>
    <row r="15" spans="2:25" ht="18.600000000000001" customHeight="1">
      <c r="B15" s="93"/>
      <c r="C15" s="93"/>
      <c r="E15" s="1" t="s">
        <v>76</v>
      </c>
      <c r="F15" s="1"/>
      <c r="G15" s="1"/>
      <c r="H15" s="1"/>
      <c r="I15" s="1"/>
      <c r="J15" s="150">
        <v>0</v>
      </c>
      <c r="K15" s="197"/>
      <c r="L15" s="150">
        <v>0</v>
      </c>
      <c r="M15" s="197"/>
      <c r="N15" s="202">
        <f>+J15+L15</f>
        <v>0</v>
      </c>
      <c r="O15" s="203"/>
      <c r="P15" s="74"/>
      <c r="T15" s="98" t="s">
        <v>21</v>
      </c>
      <c r="U15" s="98"/>
      <c r="V15" s="98"/>
    </row>
    <row r="16" spans="2:25" ht="18.600000000000001" customHeight="1">
      <c r="B16" s="93" t="s">
        <v>17</v>
      </c>
      <c r="C16" s="93"/>
      <c r="E16" s="2" t="s">
        <v>77</v>
      </c>
      <c r="J16" s="152">
        <v>11</v>
      </c>
      <c r="K16" s="201"/>
      <c r="L16" s="152">
        <v>86</v>
      </c>
      <c r="M16" s="201"/>
      <c r="N16" s="204">
        <f>+J16+L16</f>
        <v>97</v>
      </c>
      <c r="O16" s="205"/>
      <c r="P16" s="74"/>
      <c r="T16" s="98"/>
      <c r="U16" s="98"/>
      <c r="V16" s="98"/>
    </row>
    <row r="17" spans="2:22" ht="20.25">
      <c r="B17" s="93"/>
      <c r="C17" s="93"/>
      <c r="E17" s="1" t="s">
        <v>78</v>
      </c>
      <c r="F17" s="1"/>
      <c r="G17" s="1"/>
      <c r="H17" s="1"/>
      <c r="I17" s="1"/>
      <c r="J17" s="150">
        <v>6</v>
      </c>
      <c r="K17" s="197"/>
      <c r="L17" s="150">
        <v>17</v>
      </c>
      <c r="M17" s="197"/>
      <c r="N17" s="202">
        <f>+J17+L17</f>
        <v>23</v>
      </c>
      <c r="O17" s="203"/>
      <c r="P17" s="74"/>
      <c r="S17" s="55"/>
      <c r="T17" s="40"/>
      <c r="U17" s="40"/>
      <c r="V17" s="40"/>
    </row>
    <row r="18" spans="2:22" ht="20.25">
      <c r="B18" s="93" t="s">
        <v>18</v>
      </c>
      <c r="C18" s="93"/>
      <c r="S18" s="55"/>
    </row>
    <row r="19" spans="2:22" ht="19.5">
      <c r="B19" s="93"/>
      <c r="C19" s="93"/>
      <c r="E19" s="76" t="s">
        <v>79</v>
      </c>
      <c r="F19" s="76"/>
      <c r="G19" s="76"/>
      <c r="H19" s="76"/>
      <c r="I19" s="76"/>
      <c r="J19" s="76"/>
      <c r="K19" s="76"/>
    </row>
    <row r="20" spans="2:22" ht="19.5">
      <c r="B20" s="93" t="s">
        <v>19</v>
      </c>
      <c r="C20" s="93"/>
      <c r="E20" s="1" t="s">
        <v>80</v>
      </c>
      <c r="F20" s="1"/>
      <c r="G20" s="1"/>
      <c r="H20" s="1"/>
      <c r="I20" s="1"/>
      <c r="J20" s="150">
        <v>2</v>
      </c>
      <c r="K20" s="197"/>
      <c r="L20" s="74"/>
    </row>
    <row r="21" spans="2:22" ht="19.5">
      <c r="B21" s="93"/>
      <c r="C21" s="93"/>
      <c r="E21" s="2" t="s">
        <v>81</v>
      </c>
      <c r="J21" s="152">
        <v>1469</v>
      </c>
      <c r="K21" s="201"/>
      <c r="L21" s="74"/>
    </row>
    <row r="22" spans="2:22">
      <c r="E22" s="1" t="s">
        <v>82</v>
      </c>
      <c r="F22" s="1"/>
      <c r="G22" s="1"/>
      <c r="H22" s="1"/>
      <c r="I22" s="1"/>
      <c r="J22" s="150">
        <v>634</v>
      </c>
      <c r="K22" s="197"/>
      <c r="L22" s="74"/>
    </row>
    <row r="23" spans="2:22">
      <c r="O23" s="13"/>
    </row>
    <row r="24" spans="2:22">
      <c r="O24" s="13"/>
    </row>
    <row r="25" spans="2:22">
      <c r="E25" s="198" t="s">
        <v>43</v>
      </c>
      <c r="F25" s="198"/>
    </row>
    <row r="26" spans="2:22">
      <c r="E26" s="198"/>
      <c r="F26" s="198"/>
    </row>
    <row r="27" spans="2:22">
      <c r="E27" s="121" t="s">
        <v>83</v>
      </c>
      <c r="F27" s="166"/>
      <c r="G27" s="166"/>
      <c r="H27" s="166"/>
      <c r="I27" s="166"/>
      <c r="J27" s="166"/>
      <c r="K27" s="166"/>
      <c r="L27" s="166"/>
      <c r="M27" s="166"/>
    </row>
    <row r="28" spans="2:22">
      <c r="E28" s="166"/>
      <c r="F28" s="166"/>
      <c r="G28" s="166"/>
      <c r="H28" s="166"/>
      <c r="I28" s="166"/>
      <c r="J28" s="166"/>
      <c r="K28" s="166"/>
      <c r="L28" s="166"/>
      <c r="M28" s="166"/>
    </row>
    <row r="29" spans="2:22">
      <c r="E29" s="166"/>
      <c r="F29" s="166"/>
      <c r="G29" s="166"/>
      <c r="H29" s="166"/>
      <c r="I29" s="166"/>
      <c r="J29" s="166"/>
      <c r="K29" s="166"/>
      <c r="L29" s="166"/>
      <c r="M29" s="166"/>
    </row>
    <row r="30" spans="2:22">
      <c r="E30" s="166"/>
      <c r="F30" s="166"/>
      <c r="G30" s="166"/>
      <c r="H30" s="166"/>
      <c r="I30" s="166"/>
      <c r="J30" s="166"/>
      <c r="K30" s="166"/>
      <c r="L30" s="166"/>
      <c r="M30" s="166"/>
    </row>
  </sheetData>
  <sheetProtection algorithmName="SHA-512" hashValue="7IsxcvTeFJHLE3w7XMgv29wacEh+hpiADrEk5YV68HP/M7hwizqmWYbSYhNLutDYO4rW+kNsgQHoHAr2tTKCUA==" saltValue="UJ7in8V3/dz6imwgk2afyQ==" spinCount="100000" sheet="1" objects="1" scenarios="1"/>
  <mergeCells count="43">
    <mergeCell ref="E25:F26"/>
    <mergeCell ref="N8:N9"/>
    <mergeCell ref="N10:N11"/>
    <mergeCell ref="E27:M30"/>
    <mergeCell ref="J20:K20"/>
    <mergeCell ref="J17:K17"/>
    <mergeCell ref="L16:M16"/>
    <mergeCell ref="J16:K16"/>
    <mergeCell ref="J15:K15"/>
    <mergeCell ref="L15:M15"/>
    <mergeCell ref="L17:M17"/>
    <mergeCell ref="N15:O15"/>
    <mergeCell ref="N16:O16"/>
    <mergeCell ref="N17:O17"/>
    <mergeCell ref="J21:K21"/>
    <mergeCell ref="T15:V16"/>
    <mergeCell ref="J14:K14"/>
    <mergeCell ref="L14:M14"/>
    <mergeCell ref="N14:O14"/>
    <mergeCell ref="J22:K22"/>
    <mergeCell ref="E2:Y3"/>
    <mergeCell ref="E8:M9"/>
    <mergeCell ref="E10:M11"/>
    <mergeCell ref="T8:V13"/>
    <mergeCell ref="E5:N6"/>
    <mergeCell ref="P5:R5"/>
    <mergeCell ref="P6:R7"/>
    <mergeCell ref="E13:O13"/>
    <mergeCell ref="B21:C21"/>
    <mergeCell ref="B2:C4"/>
    <mergeCell ref="B6:C6"/>
    <mergeCell ref="B8:C8"/>
    <mergeCell ref="B10:C10"/>
    <mergeCell ref="B12:C12"/>
    <mergeCell ref="B11:C11"/>
    <mergeCell ref="B16:C16"/>
    <mergeCell ref="B18:C18"/>
    <mergeCell ref="B20:C20"/>
    <mergeCell ref="B14:C14"/>
    <mergeCell ref="B13:C13"/>
    <mergeCell ref="B15:C15"/>
    <mergeCell ref="B17:C17"/>
    <mergeCell ref="B19:C19"/>
  </mergeCells>
  <dataValidations count="2">
    <dataValidation type="date" allowBlank="1" showInputMessage="1" showErrorMessage="1" promptTitle="Generación del reporte" prompt="Diligenciar la fecha de diligenciamiento de esta hoja en formato  (DD/MM/AAAA)" sqref="P6:R7" xr:uid="{D682D71A-59A5-46CA-B9A0-2AE75EBE8BB8}">
      <formula1>44927</formula1>
      <formula2>47484</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xr:uid="{33F360CD-381C-4FD1-BF12-895A725EC05F}">
      <formula1>#REF!</formula1>
    </dataValidation>
  </dataValidations>
  <hyperlinks>
    <hyperlink ref="B10:C10" location="Abogados!A1" display="Abogados" xr:uid="{B61FB139-A9C6-44C9-B343-9B65F0EAB81C}"/>
    <hyperlink ref="B12:C12" location="Judiciales!A1" display="Judiciales" xr:uid="{8994E7B4-5D45-4832-B7A5-2884FD0DDCD6}"/>
    <hyperlink ref="B18:C18" location="Pagos!A1" display="Pagos" xr:uid="{57B8E5D6-B9A7-43B6-AFBC-B6C12FC3BADD}"/>
    <hyperlink ref="B8:C8" location="Usuarios!A1" display="Usuarios" xr:uid="{A9971AFF-CCD9-4FA1-A003-30276FB9D21B}"/>
    <hyperlink ref="B16:C16" location="'Comité de conciliación'!A1" display="Comité de conciliación" xr:uid="{C52174AA-5020-4F12-9BF7-3344F25B8D12}"/>
    <hyperlink ref="B20:C20" location="Resumen!A1" display="Resumen general" xr:uid="{761E941E-9E02-458C-B02A-732D70C736A4}"/>
    <hyperlink ref="B14:C14" location="Arbitramentos!A1" display="Arbitramentos" xr:uid="{C54F3527-904F-42E5-8CC3-0B0126C901D0}"/>
    <hyperlink ref="B6:C6" location="Portada!A1" display="Portada" xr:uid="{2A2B2F53-6F74-4DDF-96DF-C383A4412A82}"/>
    <hyperlink ref="T15:V16" r:id="rId1" display="Acceder al manual" xr:uid="{E7281801-F8AC-4A46-BE3E-935D76FC43D2}"/>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BB90069-B78E-4A62-BEF5-6DE349E66E86}">
          <x14:formula1>
            <xm:f>Administrador!$A$2:$A$3</xm:f>
          </x14:formula1>
          <xm:sqref>N8:N11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63D6-8ACC-439E-A6B6-EE68B06909C1}">
  <dimension ref="A2:Z53"/>
  <sheetViews>
    <sheetView showRowColHeaders="0" topLeftCell="C19" zoomScaleNormal="100" workbookViewId="0">
      <selection activeCell="N45" sqref="N45:U48"/>
    </sheetView>
  </sheetViews>
  <sheetFormatPr baseColWidth="10" defaultColWidth="11.42578125" defaultRowHeight="15"/>
  <cols>
    <col min="1" max="1" width="0" style="2" hidden="1" customWidth="1"/>
    <col min="2" max="3" width="16.28515625" style="4" customWidth="1"/>
    <col min="4" max="55" width="9.140625" style="2" customWidth="1"/>
    <col min="56" max="16384" width="11.42578125" style="2"/>
  </cols>
  <sheetData>
    <row r="2" spans="1:25">
      <c r="B2" s="92"/>
      <c r="C2" s="92"/>
    </row>
    <row r="3" spans="1:25" ht="15" customHeight="1">
      <c r="B3" s="92"/>
      <c r="C3" s="92"/>
      <c r="E3" s="89" t="s">
        <v>11</v>
      </c>
      <c r="F3" s="89"/>
      <c r="G3" s="89"/>
      <c r="H3" s="89"/>
      <c r="I3" s="89"/>
      <c r="J3" s="89"/>
      <c r="K3" s="89"/>
      <c r="L3" s="89"/>
      <c r="M3" s="89"/>
      <c r="N3" s="89"/>
      <c r="O3" s="89"/>
      <c r="P3" s="89"/>
      <c r="Q3" s="89"/>
      <c r="R3" s="89"/>
      <c r="S3" s="89"/>
      <c r="T3" s="89"/>
      <c r="U3" s="89"/>
      <c r="V3" s="89"/>
      <c r="W3" s="89"/>
      <c r="X3" s="89"/>
      <c r="Y3" s="89"/>
    </row>
    <row r="4" spans="1:25" ht="15.75" customHeight="1" thickBot="1">
      <c r="B4" s="92"/>
      <c r="C4" s="92"/>
      <c r="E4" s="90"/>
      <c r="F4" s="90"/>
      <c r="G4" s="90"/>
      <c r="H4" s="90"/>
      <c r="I4" s="90"/>
      <c r="J4" s="90"/>
      <c r="K4" s="90"/>
      <c r="L4" s="90"/>
      <c r="M4" s="90"/>
      <c r="N4" s="90"/>
      <c r="O4" s="90"/>
      <c r="P4" s="90"/>
      <c r="Q4" s="90"/>
      <c r="R4" s="90"/>
      <c r="S4" s="90"/>
      <c r="T4" s="90"/>
      <c r="U4" s="90"/>
      <c r="V4" s="90"/>
      <c r="W4" s="90"/>
      <c r="X4" s="90"/>
      <c r="Y4" s="90"/>
    </row>
    <row r="6" spans="1:25" ht="19.5">
      <c r="A6" s="13"/>
      <c r="B6" s="93" t="s">
        <v>4</v>
      </c>
      <c r="C6" s="93"/>
      <c r="E6" s="158" t="s">
        <v>22</v>
      </c>
      <c r="F6" s="158"/>
      <c r="G6" s="158"/>
      <c r="H6" s="158"/>
      <c r="I6" s="158"/>
      <c r="J6" s="158"/>
      <c r="K6" s="158"/>
      <c r="L6" s="158"/>
      <c r="M6" s="158"/>
      <c r="N6" s="158"/>
      <c r="O6" s="158"/>
      <c r="P6" s="10"/>
      <c r="Q6" s="50"/>
      <c r="R6" s="50"/>
      <c r="S6" s="206" t="s">
        <v>23</v>
      </c>
      <c r="T6" s="206"/>
      <c r="U6" s="206"/>
      <c r="V6" s="18"/>
      <c r="W6" s="96" t="s">
        <v>84</v>
      </c>
      <c r="X6" s="97"/>
      <c r="Y6" s="97"/>
    </row>
    <row r="7" spans="1:25">
      <c r="B7" s="3"/>
      <c r="C7" s="3"/>
      <c r="E7" s="158"/>
      <c r="F7" s="158"/>
      <c r="G7" s="158"/>
      <c r="H7" s="158"/>
      <c r="I7" s="158"/>
      <c r="J7" s="158"/>
      <c r="K7" s="158"/>
      <c r="L7" s="158"/>
      <c r="M7" s="158"/>
      <c r="N7" s="158"/>
      <c r="O7" s="158"/>
      <c r="P7" s="11"/>
      <c r="Q7" s="51"/>
      <c r="R7" s="51"/>
      <c r="S7" s="136">
        <v>45700</v>
      </c>
      <c r="T7" s="136"/>
      <c r="U7" s="136"/>
      <c r="V7" s="18"/>
      <c r="W7" s="97"/>
      <c r="X7" s="97"/>
      <c r="Y7" s="97"/>
    </row>
    <row r="8" spans="1:25" ht="19.5">
      <c r="B8" s="93" t="s">
        <v>8</v>
      </c>
      <c r="C8" s="93"/>
      <c r="P8" s="11"/>
      <c r="Q8" s="51"/>
      <c r="R8" s="51"/>
      <c r="S8" s="136"/>
      <c r="T8" s="136"/>
      <c r="U8" s="136"/>
      <c r="V8" s="18"/>
      <c r="W8" s="97"/>
      <c r="X8" s="97"/>
      <c r="Y8" s="97"/>
    </row>
    <row r="9" spans="1:25">
      <c r="B9" s="3"/>
      <c r="C9" s="3"/>
      <c r="E9" s="173" t="str">
        <f>"Procesos activos al "&amp;Administrador!B19&amp;" DE "&amp;Administrador!B18</f>
        <v>Procesos activos al 31 DE DICIEMBRE  DE 2024</v>
      </c>
      <c r="F9" s="173"/>
      <c r="G9" s="173"/>
      <c r="H9" s="173"/>
      <c r="I9" s="173"/>
      <c r="J9" s="173"/>
      <c r="K9" s="173"/>
      <c r="L9" s="173" t="s">
        <v>61</v>
      </c>
      <c r="P9" s="11"/>
      <c r="Q9" s="51"/>
      <c r="R9" s="51"/>
      <c r="S9" s="51"/>
      <c r="T9" s="51"/>
      <c r="U9" s="51"/>
      <c r="V9" s="18"/>
      <c r="W9" s="97"/>
      <c r="X9" s="97"/>
      <c r="Y9" s="97"/>
    </row>
    <row r="10" spans="1:25" ht="19.5">
      <c r="B10" s="93" t="s">
        <v>10</v>
      </c>
      <c r="C10" s="93"/>
      <c r="E10" s="173"/>
      <c r="F10" s="173"/>
      <c r="G10" s="173"/>
      <c r="H10" s="173"/>
      <c r="I10" s="173"/>
      <c r="J10" s="173"/>
      <c r="K10" s="173"/>
      <c r="L10" s="173"/>
      <c r="W10" s="97"/>
      <c r="X10" s="97"/>
      <c r="Y10" s="97"/>
    </row>
    <row r="11" spans="1:25" ht="15" customHeight="1">
      <c r="B11" s="93"/>
      <c r="C11" s="93"/>
      <c r="E11" s="171" t="s">
        <v>85</v>
      </c>
      <c r="F11" s="171"/>
      <c r="G11" s="171"/>
      <c r="H11" s="171"/>
      <c r="I11" s="171"/>
      <c r="J11" s="171"/>
      <c r="K11" s="172"/>
      <c r="L11" s="103">
        <v>3073</v>
      </c>
      <c r="N11" s="173" t="s">
        <v>86</v>
      </c>
      <c r="O11" s="173"/>
      <c r="P11" s="173"/>
      <c r="Q11" s="173"/>
      <c r="R11" s="173"/>
      <c r="S11" s="173"/>
      <c r="T11" s="173"/>
      <c r="U11" s="173" t="s">
        <v>61</v>
      </c>
      <c r="W11" s="97"/>
      <c r="X11" s="97"/>
      <c r="Y11" s="97"/>
    </row>
    <row r="12" spans="1:25" ht="15" customHeight="1">
      <c r="B12" s="93" t="s">
        <v>11</v>
      </c>
      <c r="C12" s="93"/>
      <c r="E12" s="171"/>
      <c r="F12" s="171"/>
      <c r="G12" s="171"/>
      <c r="H12" s="171"/>
      <c r="I12" s="171"/>
      <c r="J12" s="171"/>
      <c r="K12" s="172"/>
      <c r="L12" s="103"/>
      <c r="N12" s="173"/>
      <c r="O12" s="173"/>
      <c r="P12" s="173"/>
      <c r="Q12" s="173"/>
      <c r="R12" s="173"/>
      <c r="S12" s="173"/>
      <c r="T12" s="173"/>
      <c r="U12" s="173"/>
      <c r="W12" s="97"/>
      <c r="X12" s="97"/>
      <c r="Y12" s="97"/>
    </row>
    <row r="13" spans="1:25" ht="19.5">
      <c r="B13" s="93"/>
      <c r="C13" s="93"/>
      <c r="E13" s="177" t="s">
        <v>87</v>
      </c>
      <c r="F13" s="177"/>
      <c r="G13" s="177"/>
      <c r="H13" s="177"/>
      <c r="I13" s="177"/>
      <c r="J13" s="177"/>
      <c r="K13" s="178"/>
      <c r="L13" s="207">
        <v>3075</v>
      </c>
      <c r="M13" s="209"/>
      <c r="W13" s="40"/>
      <c r="X13" s="40"/>
      <c r="Y13" s="40"/>
    </row>
    <row r="14" spans="1:25" ht="19.5">
      <c r="B14" s="93" t="s">
        <v>12</v>
      </c>
      <c r="C14" s="93"/>
      <c r="E14" s="177"/>
      <c r="F14" s="177"/>
      <c r="G14" s="177"/>
      <c r="H14" s="177"/>
      <c r="I14" s="177"/>
      <c r="J14" s="177"/>
      <c r="K14" s="178"/>
      <c r="L14" s="207"/>
      <c r="M14" s="209"/>
      <c r="N14" s="171" t="s">
        <v>88</v>
      </c>
      <c r="O14" s="171"/>
      <c r="P14" s="171"/>
      <c r="Q14" s="171"/>
      <c r="R14" s="171"/>
      <c r="S14" s="171"/>
      <c r="T14" s="172"/>
      <c r="U14" s="103">
        <v>5</v>
      </c>
      <c r="W14" s="98" t="s">
        <v>21</v>
      </c>
      <c r="X14" s="98"/>
      <c r="Y14" s="98"/>
    </row>
    <row r="15" spans="1:25" ht="19.5">
      <c r="B15" s="93"/>
      <c r="C15" s="93"/>
      <c r="E15" s="171" t="s">
        <v>89</v>
      </c>
      <c r="F15" s="171"/>
      <c r="G15" s="171"/>
      <c r="H15" s="171"/>
      <c r="I15" s="171"/>
      <c r="J15" s="171"/>
      <c r="K15" s="172"/>
      <c r="L15" s="103">
        <v>1</v>
      </c>
      <c r="N15" s="171"/>
      <c r="O15" s="171"/>
      <c r="P15" s="171"/>
      <c r="Q15" s="171"/>
      <c r="R15" s="171"/>
      <c r="S15" s="171"/>
      <c r="T15" s="172"/>
      <c r="U15" s="103"/>
      <c r="W15" s="98"/>
      <c r="X15" s="98"/>
      <c r="Y15" s="98"/>
    </row>
    <row r="16" spans="1:25" ht="19.5">
      <c r="B16" s="93" t="s">
        <v>17</v>
      </c>
      <c r="C16" s="93"/>
      <c r="E16" s="171"/>
      <c r="F16" s="171"/>
      <c r="G16" s="171"/>
      <c r="H16" s="171"/>
      <c r="I16" s="171"/>
      <c r="J16" s="171"/>
      <c r="K16" s="172"/>
      <c r="L16" s="103"/>
      <c r="N16" s="177" t="s">
        <v>90</v>
      </c>
      <c r="O16" s="177"/>
      <c r="P16" s="177"/>
      <c r="Q16" s="177"/>
      <c r="R16" s="177"/>
      <c r="S16" s="177"/>
      <c r="T16" s="178"/>
      <c r="U16" s="207">
        <v>5</v>
      </c>
      <c r="W16" s="40"/>
      <c r="X16" s="40"/>
      <c r="Y16" s="40"/>
    </row>
    <row r="17" spans="2:25" ht="19.5">
      <c r="B17" s="93"/>
      <c r="C17" s="93"/>
      <c r="N17" s="177"/>
      <c r="O17" s="177"/>
      <c r="P17" s="177"/>
      <c r="Q17" s="177"/>
      <c r="R17" s="177"/>
      <c r="S17" s="177"/>
      <c r="T17" s="178"/>
      <c r="U17" s="207"/>
    </row>
    <row r="18" spans="2:25" ht="15" customHeight="1">
      <c r="B18" s="93" t="s">
        <v>18</v>
      </c>
      <c r="C18" s="93"/>
      <c r="E18" s="173" t="str">
        <f>+"Procesos terminados en "&amp;Administrador!B17&amp;" semestre de "&amp;Administrador!B18</f>
        <v>Procesos terminados en SEGUNDO semestre de 2024</v>
      </c>
      <c r="F18" s="173"/>
      <c r="G18" s="173"/>
      <c r="H18" s="173"/>
      <c r="I18" s="173"/>
      <c r="J18" s="173"/>
      <c r="K18" s="173"/>
      <c r="L18" s="175"/>
      <c r="N18" s="171" t="s">
        <v>91</v>
      </c>
      <c r="O18" s="171"/>
      <c r="P18" s="171"/>
      <c r="Q18" s="171"/>
      <c r="R18" s="171"/>
      <c r="S18" s="171"/>
      <c r="T18" s="172"/>
      <c r="U18" s="103">
        <v>5</v>
      </c>
      <c r="W18" s="208" t="str">
        <f>"1️⃣Con fecha de admisión anterior al 31/12/2024"</f>
        <v>1️⃣Con fecha de admisión anterior al 31/12/2024</v>
      </c>
      <c r="X18" s="208"/>
      <c r="Y18" s="208"/>
    </row>
    <row r="19" spans="2:25" ht="19.5">
      <c r="B19" s="93"/>
      <c r="C19" s="93"/>
      <c r="E19" s="173"/>
      <c r="F19" s="173"/>
      <c r="G19" s="173"/>
      <c r="H19" s="173"/>
      <c r="I19" s="173"/>
      <c r="J19" s="173"/>
      <c r="K19" s="173"/>
      <c r="L19" s="175"/>
      <c r="N19" s="171"/>
      <c r="O19" s="171"/>
      <c r="P19" s="171"/>
      <c r="Q19" s="171"/>
      <c r="R19" s="171"/>
      <c r="S19" s="171"/>
      <c r="T19" s="172"/>
      <c r="U19" s="103"/>
      <c r="W19" s="208"/>
      <c r="X19" s="208"/>
      <c r="Y19" s="208"/>
    </row>
    <row r="20" spans="2:25" ht="19.5">
      <c r="B20" s="93" t="s">
        <v>19</v>
      </c>
      <c r="C20" s="93"/>
      <c r="E20" s="214" t="str">
        <f>"Procesos terminados durante el "&amp;Administrador!B17&amp;" semestre de "&amp;Administrador!B18&amp;" según jurídica"</f>
        <v>Procesos terminados durante el SEGUNDO semestre de 2024 según jurídica</v>
      </c>
      <c r="F20" s="214"/>
      <c r="G20" s="214"/>
      <c r="H20" s="214"/>
      <c r="I20" s="214"/>
      <c r="J20" s="214"/>
      <c r="K20" s="215"/>
      <c r="L20" s="103">
        <v>310</v>
      </c>
      <c r="N20" s="57"/>
      <c r="O20" s="57"/>
      <c r="P20" s="57"/>
      <c r="Q20" s="57"/>
      <c r="R20" s="57"/>
      <c r="S20" s="57"/>
      <c r="T20" s="57"/>
      <c r="U20" s="59"/>
      <c r="W20" s="208" t="str">
        <f>"2️⃣Con fecha de actuación de terminación en este periodo"</f>
        <v>2️⃣Con fecha de actuación de terminación en este periodo</v>
      </c>
      <c r="X20" s="208"/>
      <c r="Y20" s="208"/>
    </row>
    <row r="21" spans="2:25" ht="19.5">
      <c r="B21" s="93"/>
      <c r="C21" s="93"/>
      <c r="E21" s="214"/>
      <c r="F21" s="214"/>
      <c r="G21" s="214"/>
      <c r="H21" s="214"/>
      <c r="I21" s="214"/>
      <c r="J21" s="214"/>
      <c r="K21" s="215"/>
      <c r="L21" s="103"/>
      <c r="M21" s="209"/>
      <c r="N21" s="173" t="s">
        <v>92</v>
      </c>
      <c r="O21" s="173"/>
      <c r="P21" s="173"/>
      <c r="Q21" s="173"/>
      <c r="R21" s="173"/>
      <c r="S21" s="173"/>
      <c r="T21" s="173"/>
      <c r="U21" s="64"/>
      <c r="W21" s="208"/>
      <c r="X21" s="208"/>
      <c r="Y21" s="208"/>
    </row>
    <row r="22" spans="2:25" ht="15" customHeight="1">
      <c r="E22" s="216" t="str">
        <f>"Procesos terminados en eKOGUI durante el "&amp;Administrador!B17&amp;" semestre de "&amp;Administrador!B18&amp;"2️⃣"</f>
        <v>Procesos terminados en eKOGUI durante el SEGUNDO semestre de 20242️⃣</v>
      </c>
      <c r="F22" s="216"/>
      <c r="G22" s="216"/>
      <c r="H22" s="216"/>
      <c r="I22" s="216"/>
      <c r="J22" s="216"/>
      <c r="K22" s="217"/>
      <c r="L22" s="207">
        <v>235</v>
      </c>
      <c r="M22" s="209"/>
      <c r="N22" s="173"/>
      <c r="O22" s="173"/>
      <c r="P22" s="173"/>
      <c r="Q22" s="173"/>
      <c r="R22" s="173"/>
      <c r="S22" s="173"/>
      <c r="T22" s="173"/>
      <c r="U22" s="61"/>
      <c r="W22" s="208" t="s">
        <v>93</v>
      </c>
      <c r="X22" s="208"/>
      <c r="Y22" s="208"/>
    </row>
    <row r="23" spans="2:25">
      <c r="E23" s="216"/>
      <c r="F23" s="216"/>
      <c r="G23" s="216"/>
      <c r="H23" s="216"/>
      <c r="I23" s="216"/>
      <c r="J23" s="216"/>
      <c r="K23" s="217"/>
      <c r="L23" s="207"/>
      <c r="N23" s="210" t="str">
        <f>"Procesos activos eKOGUI - Calidad demandado"</f>
        <v>Procesos activos eKOGUI - Calidad demandado</v>
      </c>
      <c r="O23" s="210"/>
      <c r="P23" s="210"/>
      <c r="Q23" s="210"/>
      <c r="R23" s="210"/>
      <c r="S23" s="210"/>
      <c r="T23" s="211"/>
      <c r="U23" s="225">
        <v>2494</v>
      </c>
      <c r="W23" s="208"/>
      <c r="X23" s="208"/>
      <c r="Y23" s="208"/>
    </row>
    <row r="24" spans="2:25">
      <c r="E24" s="17"/>
      <c r="F24" s="17"/>
      <c r="G24" s="17"/>
      <c r="H24" s="17"/>
      <c r="I24" s="17"/>
      <c r="J24" s="17"/>
      <c r="K24" s="77">
        <f>+L22*25%</f>
        <v>58.75</v>
      </c>
      <c r="L24" s="77">
        <f>+IF(L22&lt;10,L22,IF(K24&lt;10,10,K24))</f>
        <v>58.75</v>
      </c>
      <c r="M24" s="19"/>
      <c r="N24" s="210"/>
      <c r="O24" s="210"/>
      <c r="P24" s="210"/>
      <c r="Q24" s="210"/>
      <c r="R24" s="210"/>
      <c r="S24" s="210"/>
      <c r="T24" s="211"/>
      <c r="U24" s="225"/>
      <c r="W24" s="208"/>
      <c r="X24" s="208"/>
      <c r="Y24" s="208"/>
    </row>
    <row r="25" spans="2:25">
      <c r="E25" s="173" t="s">
        <v>94</v>
      </c>
      <c r="F25" s="173"/>
      <c r="G25" s="173"/>
      <c r="H25" s="173"/>
      <c r="I25" s="173"/>
      <c r="J25" s="173"/>
      <c r="K25" s="173"/>
      <c r="L25" s="61"/>
      <c r="M25" s="19"/>
      <c r="N25" s="212" t="str">
        <f>"Procesos eKOGUI - Calificación durante o posterior al semestre "&amp;Administrador!B16</f>
        <v>Procesos eKOGUI - Calificación durante o posterior al semestre II - 2024</v>
      </c>
      <c r="O25" s="212"/>
      <c r="P25" s="212"/>
      <c r="Q25" s="212"/>
      <c r="R25" s="212"/>
      <c r="S25" s="212"/>
      <c r="T25" s="213"/>
      <c r="U25" s="207">
        <v>2492</v>
      </c>
      <c r="W25" s="208"/>
      <c r="X25" s="208"/>
      <c r="Y25" s="208"/>
    </row>
    <row r="26" spans="2:25">
      <c r="E26" s="173"/>
      <c r="F26" s="173"/>
      <c r="G26" s="173"/>
      <c r="H26" s="173"/>
      <c r="I26" s="173"/>
      <c r="J26" s="173"/>
      <c r="K26" s="173"/>
      <c r="L26" s="62"/>
      <c r="N26" s="212"/>
      <c r="O26" s="212"/>
      <c r="P26" s="212"/>
      <c r="Q26" s="212"/>
      <c r="R26" s="212"/>
      <c r="S26" s="212"/>
      <c r="T26" s="213"/>
      <c r="U26" s="207"/>
      <c r="W26" s="54"/>
      <c r="X26" s="54"/>
      <c r="Y26" s="54"/>
    </row>
    <row r="27" spans="2:25">
      <c r="E27" s="171" t="str">
        <f>"Procesos terminados en eKOGUI al "&amp;Administrador!B19&amp;" de "&amp;Administrador!B18</f>
        <v>Procesos terminados en eKOGUI al 31 DE DICIEMBRE  de 2024</v>
      </c>
      <c r="F27" s="171"/>
      <c r="G27" s="171"/>
      <c r="H27" s="171"/>
      <c r="I27" s="171"/>
      <c r="J27" s="171"/>
      <c r="K27" s="172"/>
      <c r="L27" s="103">
        <v>5795</v>
      </c>
      <c r="N27" s="171" t="str">
        <f>"Procesos eKOGUI - Calificación anterior al semestre "&amp;Administrador!B16</f>
        <v>Procesos eKOGUI - Calificación anterior al semestre II - 2024</v>
      </c>
      <c r="O27" s="171"/>
      <c r="P27" s="171"/>
      <c r="Q27" s="171"/>
      <c r="R27" s="171"/>
      <c r="S27" s="171"/>
      <c r="T27" s="172"/>
      <c r="U27" s="103">
        <v>1</v>
      </c>
      <c r="W27" s="208" t="str">
        <f>"4️⃣Equivalente a un valor indexado de $38.280 millones a 31 de Diciembre de "&amp;Administrador!A27&amp;""</f>
        <v>4️⃣Equivalente a un valor indexado de $38.280 millones a 31 de Diciembre de 2024</v>
      </c>
      <c r="X27" s="208"/>
      <c r="Y27" s="208"/>
    </row>
    <row r="28" spans="2:25">
      <c r="E28" s="171"/>
      <c r="F28" s="171"/>
      <c r="G28" s="171"/>
      <c r="H28" s="171"/>
      <c r="I28" s="171"/>
      <c r="J28" s="171"/>
      <c r="K28" s="172"/>
      <c r="L28" s="103"/>
      <c r="N28" s="171"/>
      <c r="O28" s="171"/>
      <c r="P28" s="171"/>
      <c r="Q28" s="171"/>
      <c r="R28" s="171"/>
      <c r="S28" s="171"/>
      <c r="T28" s="172"/>
      <c r="U28" s="103"/>
      <c r="W28" s="208"/>
      <c r="X28" s="208"/>
      <c r="Y28" s="208"/>
    </row>
    <row r="29" spans="2:25">
      <c r="E29" s="177" t="s">
        <v>95</v>
      </c>
      <c r="F29" s="177"/>
      <c r="G29" s="177"/>
      <c r="H29" s="177"/>
      <c r="I29" s="177"/>
      <c r="J29" s="177"/>
      <c r="K29" s="178"/>
      <c r="L29" s="207">
        <v>56</v>
      </c>
      <c r="N29" s="222" t="s">
        <v>96</v>
      </c>
      <c r="O29" s="222"/>
      <c r="P29" s="222"/>
      <c r="Q29" s="222"/>
      <c r="R29" s="222"/>
      <c r="S29" s="222"/>
      <c r="T29" s="223"/>
      <c r="U29" s="224">
        <v>1</v>
      </c>
      <c r="W29" s="208"/>
      <c r="X29" s="208"/>
      <c r="Y29" s="208"/>
    </row>
    <row r="30" spans="2:25">
      <c r="E30" s="177"/>
      <c r="F30" s="177"/>
      <c r="G30" s="177"/>
      <c r="H30" s="177"/>
      <c r="I30" s="177"/>
      <c r="J30" s="177"/>
      <c r="K30" s="178"/>
      <c r="L30" s="207"/>
      <c r="N30" s="222"/>
      <c r="O30" s="222"/>
      <c r="P30" s="222"/>
      <c r="Q30" s="222"/>
      <c r="R30" s="222"/>
      <c r="S30" s="222"/>
      <c r="T30" s="223"/>
      <c r="U30" s="224"/>
      <c r="W30" s="208" t="s">
        <v>97</v>
      </c>
      <c r="X30" s="208"/>
      <c r="Y30" s="208"/>
    </row>
    <row r="31" spans="2:25">
      <c r="W31" s="208"/>
      <c r="X31" s="208"/>
      <c r="Y31" s="208"/>
    </row>
    <row r="32" spans="2:25" ht="15" customHeight="1">
      <c r="N32" s="173" t="s">
        <v>98</v>
      </c>
      <c r="O32" s="173"/>
      <c r="P32" s="173"/>
      <c r="Q32" s="173"/>
      <c r="R32" s="221"/>
      <c r="S32" s="227" t="s">
        <v>99</v>
      </c>
      <c r="T32" s="159" t="s">
        <v>100</v>
      </c>
      <c r="U32" s="228"/>
      <c r="W32" s="208"/>
      <c r="X32" s="208"/>
      <c r="Y32" s="208"/>
    </row>
    <row r="33" spans="5:26">
      <c r="E33" s="218" t="str">
        <f>"Seleccione "&amp;L24&amp;" procesos teminados en el segundo semestre de "&amp;Administrador!A27&amp;" y llene la siguiente tabla:"</f>
        <v>Seleccione 58,75 procesos teminados en el segundo semestre de 2024 y llene la siguiente tabla:</v>
      </c>
      <c r="F33" s="218"/>
      <c r="G33" s="218"/>
      <c r="H33" s="218"/>
      <c r="I33" s="218"/>
      <c r="J33" s="218"/>
      <c r="K33" s="218"/>
      <c r="L33" s="218"/>
      <c r="N33" s="173"/>
      <c r="O33" s="173"/>
      <c r="P33" s="173"/>
      <c r="Q33" s="173"/>
      <c r="R33" s="221"/>
      <c r="S33" s="227"/>
      <c r="T33" s="228"/>
      <c r="U33" s="228"/>
      <c r="V33" s="75"/>
      <c r="W33" s="208" t="str">
        <f>"6️⃣Solo se consideran los procesos activos en e-Kogui - calidad demandado que tengan calificación de riesgo"</f>
        <v>6️⃣Solo se consideran los procesos activos en e-Kogui - calidad demandado que tengan calificación de riesgo</v>
      </c>
      <c r="X33" s="208"/>
      <c r="Y33" s="208"/>
    </row>
    <row r="34" spans="5:26">
      <c r="E34" s="218"/>
      <c r="F34" s="218"/>
      <c r="G34" s="218"/>
      <c r="H34" s="218"/>
      <c r="I34" s="218"/>
      <c r="J34" s="218"/>
      <c r="K34" s="218"/>
      <c r="L34" s="218"/>
      <c r="N34" s="219" t="s">
        <v>101</v>
      </c>
      <c r="O34" s="219"/>
      <c r="P34" s="219"/>
      <c r="Q34" s="219"/>
      <c r="R34" s="220"/>
      <c r="S34" s="233">
        <v>377</v>
      </c>
      <c r="T34" s="234">
        <v>9</v>
      </c>
      <c r="U34" s="103"/>
      <c r="V34" s="75"/>
      <c r="W34" s="208"/>
      <c r="X34" s="208"/>
      <c r="Y34" s="208"/>
    </row>
    <row r="35" spans="5:26">
      <c r="E35" s="218"/>
      <c r="F35" s="218"/>
      <c r="G35" s="218"/>
      <c r="H35" s="218"/>
      <c r="I35" s="218"/>
      <c r="J35" s="218"/>
      <c r="K35" s="218"/>
      <c r="L35" s="218"/>
      <c r="N35" s="219"/>
      <c r="O35" s="219"/>
      <c r="P35" s="219"/>
      <c r="Q35" s="219"/>
      <c r="R35" s="220"/>
      <c r="S35" s="233"/>
      <c r="T35" s="234"/>
      <c r="U35" s="103"/>
      <c r="V35" s="75">
        <f>+S34-T34</f>
        <v>368</v>
      </c>
      <c r="W35" s="208"/>
      <c r="X35" s="208"/>
      <c r="Y35" s="208"/>
    </row>
    <row r="36" spans="5:26">
      <c r="E36" s="63"/>
      <c r="F36" s="63"/>
      <c r="G36" s="63"/>
      <c r="H36" s="63"/>
      <c r="I36" s="63"/>
      <c r="J36" s="63"/>
      <c r="K36" s="63"/>
      <c r="L36" s="63"/>
      <c r="N36" s="229" t="s">
        <v>102</v>
      </c>
      <c r="O36" s="229"/>
      <c r="P36" s="229"/>
      <c r="Q36" s="229"/>
      <c r="R36" s="230"/>
      <c r="S36" s="235">
        <v>531</v>
      </c>
      <c r="T36" s="237">
        <v>531</v>
      </c>
      <c r="U36" s="238"/>
      <c r="V36" s="75"/>
      <c r="W36" s="208"/>
      <c r="X36" s="208"/>
      <c r="Y36" s="208"/>
      <c r="Z36" s="13"/>
    </row>
    <row r="37" spans="5:26">
      <c r="E37" s="159" t="s">
        <v>103</v>
      </c>
      <c r="F37" s="159"/>
      <c r="G37" s="159"/>
      <c r="H37" s="159"/>
      <c r="I37" s="159"/>
      <c r="J37" s="159"/>
      <c r="K37" s="159"/>
      <c r="L37" s="58"/>
      <c r="N37" s="229"/>
      <c r="O37" s="229"/>
      <c r="P37" s="229"/>
      <c r="Q37" s="229"/>
      <c r="R37" s="230"/>
      <c r="S37" s="235"/>
      <c r="T37" s="237"/>
      <c r="U37" s="238"/>
      <c r="V37" s="75">
        <f>+S36-T36</f>
        <v>0</v>
      </c>
      <c r="W37" s="208"/>
      <c r="X37" s="208"/>
      <c r="Y37" s="208"/>
    </row>
    <row r="38" spans="5:26">
      <c r="E38" s="159"/>
      <c r="F38" s="159"/>
      <c r="G38" s="159"/>
      <c r="H38" s="159"/>
      <c r="I38" s="159"/>
      <c r="J38" s="159"/>
      <c r="K38" s="159"/>
      <c r="L38" s="62"/>
      <c r="N38" s="219" t="s">
        <v>104</v>
      </c>
      <c r="O38" s="219"/>
      <c r="P38" s="219"/>
      <c r="Q38" s="219"/>
      <c r="R38" s="220"/>
      <c r="S38" s="233">
        <v>265</v>
      </c>
      <c r="T38" s="234">
        <v>265</v>
      </c>
      <c r="U38" s="103"/>
      <c r="V38" s="75"/>
      <c r="W38" s="226" t="s">
        <v>105</v>
      </c>
      <c r="X38" s="226"/>
      <c r="Y38" s="226"/>
    </row>
    <row r="39" spans="5:26">
      <c r="E39" s="171" t="s">
        <v>106</v>
      </c>
      <c r="F39" s="171"/>
      <c r="G39" s="171"/>
      <c r="H39" s="171"/>
      <c r="I39" s="171"/>
      <c r="J39" s="171"/>
      <c r="K39" s="172"/>
      <c r="L39" s="103">
        <v>59</v>
      </c>
      <c r="M39" s="13"/>
      <c r="N39" s="219"/>
      <c r="O39" s="219"/>
      <c r="P39" s="219"/>
      <c r="Q39" s="219"/>
      <c r="R39" s="220"/>
      <c r="S39" s="233"/>
      <c r="T39" s="234"/>
      <c r="U39" s="103"/>
      <c r="V39" s="75">
        <f>+S38-T38</f>
        <v>0</v>
      </c>
      <c r="W39" s="226"/>
      <c r="X39" s="226"/>
      <c r="Y39" s="226"/>
    </row>
    <row r="40" spans="5:26">
      <c r="E40" s="171"/>
      <c r="F40" s="171"/>
      <c r="G40" s="171"/>
      <c r="H40" s="171"/>
      <c r="I40" s="171"/>
      <c r="J40" s="171"/>
      <c r="K40" s="172"/>
      <c r="L40" s="103"/>
      <c r="N40" s="231" t="s">
        <v>107</v>
      </c>
      <c r="O40" s="231"/>
      <c r="P40" s="231"/>
      <c r="Q40" s="231"/>
      <c r="R40" s="232"/>
      <c r="S40" s="236">
        <v>1320</v>
      </c>
      <c r="T40" s="239">
        <v>1319</v>
      </c>
      <c r="U40" s="240"/>
      <c r="V40" s="75"/>
      <c r="W40" s="226"/>
      <c r="X40" s="226"/>
      <c r="Y40" s="226"/>
    </row>
    <row r="41" spans="5:26">
      <c r="E41" s="177" t="s">
        <v>108</v>
      </c>
      <c r="F41" s="177"/>
      <c r="G41" s="177"/>
      <c r="H41" s="177"/>
      <c r="I41" s="177"/>
      <c r="J41" s="177"/>
      <c r="K41" s="178"/>
      <c r="L41" s="207">
        <v>46</v>
      </c>
      <c r="N41" s="231"/>
      <c r="O41" s="231"/>
      <c r="P41" s="231"/>
      <c r="Q41" s="231"/>
      <c r="R41" s="232"/>
      <c r="S41" s="236"/>
      <c r="T41" s="239"/>
      <c r="U41" s="240"/>
      <c r="V41" s="75">
        <f>+S40-T40</f>
        <v>1</v>
      </c>
      <c r="W41" s="226"/>
      <c r="X41" s="226"/>
      <c r="Y41" s="226"/>
    </row>
    <row r="42" spans="5:26">
      <c r="E42" s="177"/>
      <c r="F42" s="177"/>
      <c r="G42" s="177"/>
      <c r="H42" s="177"/>
      <c r="I42" s="177"/>
      <c r="J42" s="177"/>
      <c r="K42" s="178"/>
      <c r="L42" s="207"/>
      <c r="V42" s="75"/>
      <c r="W42" s="226"/>
      <c r="X42" s="226"/>
      <c r="Y42" s="226"/>
    </row>
    <row r="43" spans="5:26">
      <c r="E43" s="171" t="s">
        <v>109</v>
      </c>
      <c r="F43" s="171"/>
      <c r="G43" s="171"/>
      <c r="H43" s="171"/>
      <c r="I43" s="171"/>
      <c r="J43" s="171"/>
      <c r="K43" s="172"/>
      <c r="L43" s="103">
        <v>7</v>
      </c>
      <c r="N43" s="100" t="s">
        <v>43</v>
      </c>
      <c r="O43" s="100"/>
      <c r="V43" s="75"/>
      <c r="W43" s="41"/>
      <c r="X43" s="41"/>
      <c r="Y43" s="41"/>
    </row>
    <row r="44" spans="5:26">
      <c r="E44" s="171"/>
      <c r="F44" s="171"/>
      <c r="G44" s="171"/>
      <c r="H44" s="171"/>
      <c r="I44" s="171"/>
      <c r="J44" s="171"/>
      <c r="K44" s="172"/>
      <c r="L44" s="103"/>
      <c r="N44" s="100"/>
      <c r="O44" s="100"/>
      <c r="W44" s="41"/>
      <c r="X44" s="41"/>
      <c r="Y44" s="41"/>
    </row>
    <row r="45" spans="5:26">
      <c r="E45" s="177" t="s">
        <v>110</v>
      </c>
      <c r="F45" s="177"/>
      <c r="G45" s="177"/>
      <c r="H45" s="177"/>
      <c r="I45" s="177"/>
      <c r="J45" s="177"/>
      <c r="K45" s="178"/>
      <c r="L45" s="207">
        <v>6</v>
      </c>
      <c r="N45" s="121" t="s">
        <v>658</v>
      </c>
      <c r="O45" s="166"/>
      <c r="P45" s="166"/>
      <c r="Q45" s="166"/>
      <c r="R45" s="166"/>
      <c r="S45" s="166"/>
      <c r="T45" s="166"/>
      <c r="U45" s="166"/>
      <c r="W45" s="41"/>
      <c r="X45" s="41"/>
      <c r="Y45" s="41"/>
    </row>
    <row r="46" spans="5:26">
      <c r="E46" s="177"/>
      <c r="F46" s="177"/>
      <c r="G46" s="177"/>
      <c r="H46" s="177"/>
      <c r="I46" s="177"/>
      <c r="J46" s="177"/>
      <c r="K46" s="178"/>
      <c r="L46" s="207"/>
      <c r="N46" s="166"/>
      <c r="O46" s="166"/>
      <c r="P46" s="166"/>
      <c r="Q46" s="166"/>
      <c r="R46" s="166"/>
      <c r="S46" s="166"/>
      <c r="T46" s="166"/>
      <c r="U46" s="166"/>
      <c r="W46" s="41"/>
      <c r="X46" s="41"/>
      <c r="Y46" s="41"/>
    </row>
    <row r="47" spans="5:26">
      <c r="E47" s="171" t="s">
        <v>111</v>
      </c>
      <c r="F47" s="171"/>
      <c r="G47" s="171"/>
      <c r="H47" s="171"/>
      <c r="I47" s="171"/>
      <c r="J47" s="171"/>
      <c r="K47" s="172"/>
      <c r="L47" s="103">
        <v>2</v>
      </c>
      <c r="N47" s="166"/>
      <c r="O47" s="166"/>
      <c r="P47" s="166"/>
      <c r="Q47" s="166"/>
      <c r="R47" s="166"/>
      <c r="S47" s="166"/>
      <c r="T47" s="166"/>
      <c r="U47" s="166"/>
      <c r="W47" s="41"/>
      <c r="X47" s="41"/>
      <c r="Y47" s="41"/>
    </row>
    <row r="48" spans="5:26">
      <c r="E48" s="171"/>
      <c r="F48" s="171"/>
      <c r="G48" s="171"/>
      <c r="H48" s="171"/>
      <c r="I48" s="171"/>
      <c r="J48" s="171"/>
      <c r="K48" s="172"/>
      <c r="L48" s="103"/>
      <c r="N48" s="166"/>
      <c r="O48" s="166"/>
      <c r="P48" s="166"/>
      <c r="Q48" s="166"/>
      <c r="R48" s="166"/>
      <c r="S48" s="166"/>
      <c r="T48" s="166"/>
      <c r="U48" s="166"/>
      <c r="W48" s="41"/>
      <c r="X48" s="41"/>
      <c r="Y48" s="41"/>
    </row>
    <row r="49" spans="23:25">
      <c r="W49" s="41"/>
      <c r="X49" s="41"/>
      <c r="Y49" s="41"/>
    </row>
    <row r="50" spans="23:25">
      <c r="W50" s="41"/>
      <c r="X50" s="41"/>
      <c r="Y50" s="41"/>
    </row>
    <row r="51" spans="23:25">
      <c r="W51" s="41"/>
      <c r="X51" s="41"/>
      <c r="Y51" s="41"/>
    </row>
    <row r="52" spans="23:25">
      <c r="W52" s="41"/>
      <c r="X52" s="41"/>
      <c r="Y52" s="41"/>
    </row>
    <row r="53" spans="23:25">
      <c r="W53" s="41"/>
      <c r="X53" s="41"/>
      <c r="Y53" s="41"/>
    </row>
  </sheetData>
  <sheetProtection algorithmName="SHA-512" hashValue="T/NmpdDP8BtpPuQSHNyqFFBuQINk8YLMlB6/msvnwuIz9vGEsNDmKwvPDDXzdIpBL/vcjjOfszTV6IVGPWKmNw==" saltValue="YJOtEHG09iWRWAzI85GnqQ==" spinCount="100000" sheet="1" objects="1" scenarios="1"/>
  <mergeCells count="95">
    <mergeCell ref="W38:Y42"/>
    <mergeCell ref="S32:S33"/>
    <mergeCell ref="T32:U33"/>
    <mergeCell ref="N36:R37"/>
    <mergeCell ref="N38:R39"/>
    <mergeCell ref="N40:R41"/>
    <mergeCell ref="W33:Y37"/>
    <mergeCell ref="S34:S35"/>
    <mergeCell ref="T34:U35"/>
    <mergeCell ref="S36:S37"/>
    <mergeCell ref="S38:S39"/>
    <mergeCell ref="S40:S41"/>
    <mergeCell ref="T36:U37"/>
    <mergeCell ref="T38:U39"/>
    <mergeCell ref="T40:U41"/>
    <mergeCell ref="E37:K38"/>
    <mergeCell ref="N11:T12"/>
    <mergeCell ref="U11:U12"/>
    <mergeCell ref="N21:T22"/>
    <mergeCell ref="N34:R35"/>
    <mergeCell ref="N32:R33"/>
    <mergeCell ref="U27:U28"/>
    <mergeCell ref="E11:K12"/>
    <mergeCell ref="L11:L12"/>
    <mergeCell ref="E13:K14"/>
    <mergeCell ref="N29:T30"/>
    <mergeCell ref="U29:U30"/>
    <mergeCell ref="L22:L23"/>
    <mergeCell ref="U23:U24"/>
    <mergeCell ref="L27:L28"/>
    <mergeCell ref="U18:U19"/>
    <mergeCell ref="N43:O44"/>
    <mergeCell ref="N45:U48"/>
    <mergeCell ref="E47:K48"/>
    <mergeCell ref="L47:L48"/>
    <mergeCell ref="N14:T15"/>
    <mergeCell ref="U14:U15"/>
    <mergeCell ref="N16:T17"/>
    <mergeCell ref="U16:U17"/>
    <mergeCell ref="N18:T19"/>
    <mergeCell ref="E33:L35"/>
    <mergeCell ref="E39:K40"/>
    <mergeCell ref="L39:L40"/>
    <mergeCell ref="E41:K42"/>
    <mergeCell ref="E43:K44"/>
    <mergeCell ref="L43:L44"/>
    <mergeCell ref="E27:K28"/>
    <mergeCell ref="E3:Y4"/>
    <mergeCell ref="E45:K46"/>
    <mergeCell ref="E29:K30"/>
    <mergeCell ref="L29:L30"/>
    <mergeCell ref="W6:Y12"/>
    <mergeCell ref="W14:Y15"/>
    <mergeCell ref="L41:L42"/>
    <mergeCell ref="L45:L46"/>
    <mergeCell ref="N23:T24"/>
    <mergeCell ref="N25:T26"/>
    <mergeCell ref="U25:U26"/>
    <mergeCell ref="N27:T28"/>
    <mergeCell ref="L15:L16"/>
    <mergeCell ref="E20:K21"/>
    <mergeCell ref="W18:Y19"/>
    <mergeCell ref="E22:K23"/>
    <mergeCell ref="B2:C4"/>
    <mergeCell ref="B6:C6"/>
    <mergeCell ref="B8:C8"/>
    <mergeCell ref="B14:C14"/>
    <mergeCell ref="B10:C10"/>
    <mergeCell ref="B12:C12"/>
    <mergeCell ref="B18:C18"/>
    <mergeCell ref="B20:C20"/>
    <mergeCell ref="E6:O7"/>
    <mergeCell ref="B16:C16"/>
    <mergeCell ref="M13:M14"/>
    <mergeCell ref="E15:K16"/>
    <mergeCell ref="L20:L21"/>
    <mergeCell ref="M21:M22"/>
    <mergeCell ref="B11:C11"/>
    <mergeCell ref="B13:C13"/>
    <mergeCell ref="B15:C15"/>
    <mergeCell ref="B17:C17"/>
    <mergeCell ref="B19:C19"/>
    <mergeCell ref="B21:C21"/>
    <mergeCell ref="L9:L10"/>
    <mergeCell ref="E18:K19"/>
    <mergeCell ref="S6:U6"/>
    <mergeCell ref="S7:U8"/>
    <mergeCell ref="L13:L14"/>
    <mergeCell ref="E9:K10"/>
    <mergeCell ref="W30:Y32"/>
    <mergeCell ref="W22:Y25"/>
    <mergeCell ref="W27:Y29"/>
    <mergeCell ref="W20:Y21"/>
    <mergeCell ref="L18:L19"/>
    <mergeCell ref="E25:K26"/>
  </mergeCells>
  <dataValidations count="1">
    <dataValidation type="date" allowBlank="1" showInputMessage="1" showErrorMessage="1" promptTitle="Consulta eKOGUI" prompt="Diligenciar la fecha de diligenciamiento de esta hoja Formato (DD/MM/AAAA)" sqref="S7:U8" xr:uid="{3CF80C60-D4E2-46BF-B697-8A9943A40588}">
      <formula1>44927</formula1>
      <formula2>47484</formula2>
    </dataValidation>
  </dataValidations>
  <hyperlinks>
    <hyperlink ref="B10:C10" location="Abogados!A1" display="Abogados" xr:uid="{05C89D7D-487E-4723-8B4C-FF6659B28A45}"/>
    <hyperlink ref="B12:C12" location="Judiciales!A1" display="Judiciales" xr:uid="{841F9296-1CBA-4682-890D-9A82D67216D8}"/>
    <hyperlink ref="B18:C18" location="Pagos!A1" display="Pagos" xr:uid="{C9E1109C-95F1-4A8F-B02D-F4CFC5211054}"/>
    <hyperlink ref="B8:C8" location="Usuarios!A1" display="Usuarios" xr:uid="{CEE20A3A-4F1D-432C-8DF4-8091734D93AF}"/>
    <hyperlink ref="B16:C16" location="'Comité de conciliación'!A1" display="Comité de conciliación" xr:uid="{57B05322-DE2F-408A-8C8F-81BC21918739}"/>
    <hyperlink ref="B20:C20" location="Resumen!A1" display="Resumen general" xr:uid="{BFCCFDF8-9CC5-408C-BBEA-56819CF1EFFB}"/>
    <hyperlink ref="B14:C14" location="Arbitramentos!A1" display="Arbitramentos" xr:uid="{ED3646EB-0814-41F2-8FAC-D444581D6AC9}"/>
    <hyperlink ref="B6:C6" location="Portada!A1" display="Portada" xr:uid="{01AB72E7-5850-4164-8BCB-4798D7922B47}"/>
    <hyperlink ref="W14:Y15" r:id="rId1" display="Acceder al manual" xr:uid="{E6BA30AB-9BF0-4E1D-9087-9744C823F33D}"/>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240E-951A-4F29-8DBE-3B785F9B7B53}">
  <dimension ref="B2:Y28"/>
  <sheetViews>
    <sheetView showRowColHeaders="0" topLeftCell="B1" zoomScaleNormal="100" workbookViewId="0">
      <selection activeCell="R15" sqref="R15"/>
    </sheetView>
  </sheetViews>
  <sheetFormatPr baseColWidth="10" defaultColWidth="11.42578125" defaultRowHeight="15"/>
  <cols>
    <col min="1" max="1" width="0" style="2" hidden="1" customWidth="1"/>
    <col min="2" max="3" width="16.28515625" style="4" customWidth="1"/>
    <col min="4" max="64" width="9.140625" style="2" customWidth="1"/>
    <col min="65" max="16384" width="11.42578125" style="2"/>
  </cols>
  <sheetData>
    <row r="2" spans="2:25">
      <c r="B2" s="92"/>
      <c r="C2" s="92"/>
      <c r="E2" s="89" t="s">
        <v>12</v>
      </c>
      <c r="F2" s="89"/>
      <c r="G2" s="89"/>
      <c r="H2" s="89"/>
      <c r="I2" s="89"/>
      <c r="J2" s="89"/>
      <c r="K2" s="89"/>
      <c r="L2" s="89"/>
      <c r="M2" s="89"/>
      <c r="N2" s="89"/>
      <c r="O2" s="89"/>
      <c r="P2" s="89"/>
      <c r="Q2" s="89"/>
      <c r="R2" s="89"/>
      <c r="S2" s="89"/>
      <c r="T2" s="89"/>
      <c r="U2" s="89"/>
      <c r="V2" s="89"/>
      <c r="W2" s="89"/>
      <c r="X2" s="89"/>
      <c r="Y2" s="89"/>
    </row>
    <row r="3" spans="2:25" ht="15.75" thickBot="1">
      <c r="B3" s="92"/>
      <c r="C3" s="92"/>
      <c r="E3" s="90"/>
      <c r="F3" s="90"/>
      <c r="G3" s="90"/>
      <c r="H3" s="90"/>
      <c r="I3" s="90"/>
      <c r="J3" s="90"/>
      <c r="K3" s="90"/>
      <c r="L3" s="90"/>
      <c r="M3" s="90"/>
      <c r="N3" s="90"/>
      <c r="O3" s="90"/>
      <c r="P3" s="90"/>
      <c r="Q3" s="90"/>
      <c r="R3" s="90"/>
      <c r="S3" s="90"/>
      <c r="T3" s="90"/>
      <c r="U3" s="90"/>
      <c r="V3" s="90"/>
      <c r="W3" s="90"/>
      <c r="X3" s="90"/>
      <c r="Y3" s="90"/>
    </row>
    <row r="4" spans="2:25">
      <c r="B4" s="92"/>
      <c r="C4" s="92"/>
      <c r="O4" s="206" t="s">
        <v>23</v>
      </c>
      <c r="P4" s="206"/>
      <c r="Q4" s="206"/>
    </row>
    <row r="5" spans="2:25" ht="14.25" customHeight="1">
      <c r="E5" s="193" t="s">
        <v>69</v>
      </c>
      <c r="F5" s="193"/>
      <c r="G5" s="193"/>
      <c r="H5" s="193"/>
      <c r="I5" s="193"/>
      <c r="J5" s="193"/>
      <c r="K5" s="193"/>
      <c r="L5" s="193"/>
      <c r="M5" s="193"/>
      <c r="N5" s="6"/>
      <c r="O5" s="136">
        <v>45705</v>
      </c>
      <c r="P5" s="136"/>
      <c r="Q5" s="136"/>
      <c r="R5" s="6"/>
      <c r="S5" s="6"/>
      <c r="T5" s="6"/>
      <c r="U5" s="6"/>
      <c r="V5" s="6"/>
    </row>
    <row r="6" spans="2:25" ht="19.5">
      <c r="B6" s="93" t="s">
        <v>4</v>
      </c>
      <c r="C6" s="93"/>
      <c r="E6" s="193"/>
      <c r="F6" s="193"/>
      <c r="G6" s="193"/>
      <c r="H6" s="193"/>
      <c r="I6" s="193"/>
      <c r="J6" s="193"/>
      <c r="K6" s="193"/>
      <c r="L6" s="193"/>
      <c r="M6" s="193"/>
      <c r="N6" s="6"/>
      <c r="O6" s="136"/>
      <c r="P6" s="136"/>
      <c r="Q6" s="136"/>
      <c r="R6" s="6"/>
      <c r="S6" s="6"/>
      <c r="T6" s="6"/>
      <c r="U6" s="6"/>
      <c r="V6" s="6"/>
    </row>
    <row r="7" spans="2:25">
      <c r="B7" s="3"/>
      <c r="C7" s="3"/>
      <c r="E7" s="8"/>
      <c r="F7" s="8"/>
      <c r="G7" s="8"/>
      <c r="H7" s="8"/>
      <c r="I7" s="8"/>
      <c r="J7" s="8"/>
      <c r="K7" s="8"/>
      <c r="L7" s="8"/>
      <c r="M7" s="8"/>
      <c r="N7" s="8"/>
      <c r="O7" s="8"/>
      <c r="P7" s="8"/>
      <c r="Q7" s="8"/>
      <c r="R7" s="8"/>
      <c r="S7" s="8"/>
      <c r="T7" s="8"/>
      <c r="U7" s="8"/>
      <c r="W7" s="43"/>
      <c r="X7" s="43"/>
      <c r="Y7" s="43"/>
    </row>
    <row r="8" spans="2:25" ht="19.5">
      <c r="B8" s="93" t="s">
        <v>8</v>
      </c>
      <c r="C8" s="93"/>
      <c r="E8" s="173" t="s">
        <v>12</v>
      </c>
      <c r="F8" s="173"/>
      <c r="G8" s="173"/>
      <c r="H8" s="173"/>
      <c r="I8" s="173"/>
      <c r="J8" s="173"/>
      <c r="K8" s="174"/>
      <c r="L8" s="242" t="s">
        <v>61</v>
      </c>
      <c r="M8" s="66"/>
      <c r="N8" s="173" t="s">
        <v>12</v>
      </c>
      <c r="O8" s="173"/>
      <c r="P8" s="173"/>
      <c r="Q8" s="173"/>
      <c r="R8" s="173"/>
      <c r="S8" s="173"/>
      <c r="T8" s="174"/>
      <c r="U8" s="242" t="s">
        <v>61</v>
      </c>
      <c r="W8" s="192" t="s">
        <v>112</v>
      </c>
      <c r="X8" s="192"/>
      <c r="Y8" s="192"/>
    </row>
    <row r="9" spans="2:25">
      <c r="B9" s="3"/>
      <c r="C9" s="3"/>
      <c r="E9" s="173"/>
      <c r="F9" s="173"/>
      <c r="G9" s="173"/>
      <c r="H9" s="173"/>
      <c r="I9" s="173"/>
      <c r="J9" s="173"/>
      <c r="K9" s="174"/>
      <c r="L9" s="242"/>
      <c r="M9" s="66"/>
      <c r="N9" s="173"/>
      <c r="O9" s="173"/>
      <c r="P9" s="173"/>
      <c r="Q9" s="173"/>
      <c r="R9" s="173"/>
      <c r="S9" s="173"/>
      <c r="T9" s="174"/>
      <c r="U9" s="242"/>
      <c r="W9" s="192"/>
      <c r="X9" s="192"/>
      <c r="Y9" s="192"/>
    </row>
    <row r="10" spans="2:25" ht="19.5">
      <c r="B10" s="93" t="s">
        <v>10</v>
      </c>
      <c r="C10" s="93"/>
      <c r="E10" s="210" t="str">
        <f>"Arbitramentos activos al "&amp;Administrador!B19&amp;" de "&amp;Administrador!B18&amp;" según jurídica"</f>
        <v>Arbitramentos activos al 31 DE DICIEMBRE  de 2024 según jurídica</v>
      </c>
      <c r="F10" s="210"/>
      <c r="G10" s="210"/>
      <c r="H10" s="210"/>
      <c r="I10" s="210"/>
      <c r="J10" s="210"/>
      <c r="K10" s="211"/>
      <c r="L10" s="103">
        <v>0</v>
      </c>
      <c r="N10" s="210" t="str">
        <f>"Total arbitramentos terminados al "&amp;Administrador!B19&amp;" de "&amp;Administrador!B18&amp;" según jurídica"</f>
        <v>Total arbitramentos terminados al 31 DE DICIEMBRE  de 2024 según jurídica</v>
      </c>
      <c r="O10" s="210"/>
      <c r="P10" s="210"/>
      <c r="Q10" s="210"/>
      <c r="R10" s="210"/>
      <c r="S10" s="210"/>
      <c r="T10" s="211"/>
      <c r="U10" s="103">
        <v>7</v>
      </c>
      <c r="W10" s="192"/>
      <c r="X10" s="192"/>
      <c r="Y10" s="192"/>
    </row>
    <row r="11" spans="2:25" ht="19.5">
      <c r="B11" s="93"/>
      <c r="C11" s="93"/>
      <c r="E11" s="210"/>
      <c r="F11" s="210"/>
      <c r="G11" s="210"/>
      <c r="H11" s="210"/>
      <c r="I11" s="210"/>
      <c r="J11" s="210"/>
      <c r="K11" s="211"/>
      <c r="L11" s="103"/>
      <c r="N11" s="210"/>
      <c r="O11" s="210"/>
      <c r="P11" s="210"/>
      <c r="Q11" s="210"/>
      <c r="R11" s="210"/>
      <c r="S11" s="210"/>
      <c r="T11" s="211"/>
      <c r="U11" s="103"/>
      <c r="W11" s="192"/>
      <c r="X11" s="192"/>
      <c r="Y11" s="192"/>
    </row>
    <row r="12" spans="2:25" ht="19.5">
      <c r="B12" s="93" t="s">
        <v>11</v>
      </c>
      <c r="C12" s="93"/>
      <c r="E12" s="177" t="s">
        <v>113</v>
      </c>
      <c r="F12" s="177"/>
      <c r="G12" s="177"/>
      <c r="H12" s="177"/>
      <c r="I12" s="177"/>
      <c r="J12" s="177"/>
      <c r="K12" s="178"/>
      <c r="L12" s="207">
        <v>0</v>
      </c>
      <c r="N12" s="177" t="s">
        <v>114</v>
      </c>
      <c r="O12" s="177"/>
      <c r="P12" s="177"/>
      <c r="Q12" s="177"/>
      <c r="R12" s="177"/>
      <c r="S12" s="177"/>
      <c r="T12" s="178"/>
      <c r="U12" s="207">
        <v>7</v>
      </c>
      <c r="W12" s="192"/>
      <c r="X12" s="192"/>
      <c r="Y12" s="192"/>
    </row>
    <row r="13" spans="2:25" ht="19.5">
      <c r="B13" s="93"/>
      <c r="C13" s="93"/>
      <c r="E13" s="177"/>
      <c r="F13" s="177"/>
      <c r="G13" s="177"/>
      <c r="H13" s="177"/>
      <c r="I13" s="177"/>
      <c r="J13" s="177"/>
      <c r="K13" s="178"/>
      <c r="L13" s="207"/>
      <c r="N13" s="177"/>
      <c r="O13" s="177"/>
      <c r="P13" s="177"/>
      <c r="Q13" s="177"/>
      <c r="R13" s="177"/>
      <c r="S13" s="177"/>
      <c r="T13" s="178"/>
      <c r="U13" s="207"/>
      <c r="W13" s="192"/>
      <c r="X13" s="192"/>
      <c r="Y13" s="192"/>
    </row>
    <row r="14" spans="2:25" ht="19.5">
      <c r="B14" s="93" t="s">
        <v>12</v>
      </c>
      <c r="C14" s="93"/>
      <c r="W14" s="40"/>
      <c r="X14" s="40"/>
      <c r="Y14" s="40"/>
    </row>
    <row r="15" spans="2:25" ht="19.5">
      <c r="B15" s="93"/>
      <c r="C15" s="93"/>
      <c r="W15" s="98" t="s">
        <v>21</v>
      </c>
      <c r="X15" s="98"/>
      <c r="Y15" s="98"/>
    </row>
    <row r="16" spans="2:25" ht="19.5">
      <c r="B16" s="93" t="s">
        <v>17</v>
      </c>
      <c r="C16" s="93"/>
      <c r="W16" s="98"/>
      <c r="X16" s="98"/>
      <c r="Y16" s="98"/>
    </row>
    <row r="17" spans="2:25" ht="19.5">
      <c r="B17" s="93"/>
      <c r="C17" s="93"/>
      <c r="N17" s="13"/>
      <c r="W17" s="40"/>
      <c r="X17" s="40"/>
      <c r="Y17" s="40"/>
    </row>
    <row r="18" spans="2:25" ht="19.5">
      <c r="B18" s="93" t="s">
        <v>18</v>
      </c>
      <c r="C18" s="93"/>
      <c r="E18" s="100" t="s">
        <v>43</v>
      </c>
      <c r="F18" s="100"/>
    </row>
    <row r="19" spans="2:25" ht="19.5">
      <c r="B19" s="93"/>
      <c r="C19" s="93"/>
      <c r="E19" s="100"/>
      <c r="F19" s="100"/>
    </row>
    <row r="20" spans="2:25" ht="19.5">
      <c r="B20" s="93" t="s">
        <v>19</v>
      </c>
      <c r="C20" s="93"/>
      <c r="E20" s="241"/>
      <c r="F20" s="241"/>
      <c r="G20" s="241"/>
      <c r="H20" s="241"/>
      <c r="I20" s="241"/>
      <c r="J20" s="241"/>
      <c r="K20" s="241"/>
      <c r="L20" s="241"/>
      <c r="M20" s="241"/>
      <c r="N20" s="241"/>
      <c r="O20" s="241"/>
      <c r="P20" s="241"/>
    </row>
    <row r="21" spans="2:25" ht="19.5">
      <c r="B21" s="93"/>
      <c r="C21" s="93"/>
      <c r="E21" s="241"/>
      <c r="F21" s="241"/>
      <c r="G21" s="241"/>
      <c r="H21" s="241"/>
      <c r="I21" s="241"/>
      <c r="J21" s="241"/>
      <c r="K21" s="241"/>
      <c r="L21" s="241"/>
      <c r="M21" s="241"/>
      <c r="N21" s="241"/>
      <c r="O21" s="241"/>
      <c r="P21" s="241"/>
    </row>
    <row r="22" spans="2:25">
      <c r="E22" s="241"/>
      <c r="F22" s="241"/>
      <c r="G22" s="241"/>
      <c r="H22" s="241"/>
      <c r="I22" s="241"/>
      <c r="J22" s="241"/>
      <c r="K22" s="241"/>
      <c r="L22" s="241"/>
      <c r="M22" s="241"/>
      <c r="N22" s="241"/>
      <c r="O22" s="241"/>
      <c r="P22" s="241"/>
    </row>
    <row r="23" spans="2:25" ht="19.5">
      <c r="E23" s="183"/>
      <c r="F23" s="183"/>
      <c r="G23" s="183"/>
      <c r="H23" s="183"/>
      <c r="I23" s="55"/>
    </row>
    <row r="28" spans="2:25">
      <c r="I28" s="13"/>
    </row>
  </sheetData>
  <sheetProtection algorithmName="SHA-512" hashValue="xVWuObCjUIbrpjpORWdak5ewsCcwjsI4rDtyMX1phMkUnn1XZ9/Fwvtu+YPxcr6E8SwjPcfyRpJH2RpKkz7aeg==" saltValue="AKpW57ZAEUg9WlPdhoGaBg==" spinCount="100000" sheet="1" objects="1" scenarios="1"/>
  <mergeCells count="36">
    <mergeCell ref="W15:Y16"/>
    <mergeCell ref="W8:Y13"/>
    <mergeCell ref="E23:H23"/>
    <mergeCell ref="U10:U11"/>
    <mergeCell ref="N12:T13"/>
    <mergeCell ref="U12:U13"/>
    <mergeCell ref="E18:F19"/>
    <mergeCell ref="E20:P22"/>
    <mergeCell ref="E8:K9"/>
    <mergeCell ref="L8:L9"/>
    <mergeCell ref="N8:T9"/>
    <mergeCell ref="U8:U9"/>
    <mergeCell ref="B2:C4"/>
    <mergeCell ref="B6:C6"/>
    <mergeCell ref="B8:C8"/>
    <mergeCell ref="B10:C10"/>
    <mergeCell ref="B12:C12"/>
    <mergeCell ref="E2:Y3"/>
    <mergeCell ref="E10:K11"/>
    <mergeCell ref="L10:L11"/>
    <mergeCell ref="E12:K13"/>
    <mergeCell ref="L12:L13"/>
    <mergeCell ref="N10:T11"/>
    <mergeCell ref="E5:M6"/>
    <mergeCell ref="O4:Q4"/>
    <mergeCell ref="O5:Q6"/>
    <mergeCell ref="B21:C21"/>
    <mergeCell ref="B11:C11"/>
    <mergeCell ref="B13:C13"/>
    <mergeCell ref="B15:C15"/>
    <mergeCell ref="B17:C17"/>
    <mergeCell ref="B19:C19"/>
    <mergeCell ref="B16:C16"/>
    <mergeCell ref="B18:C18"/>
    <mergeCell ref="B20:C20"/>
    <mergeCell ref="B14:C14"/>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I23" xr:uid="{7FBCA604-F750-4127-A814-1F2F10B8653F}">
      <formula1>$U$10:$U$12</formula1>
    </dataValidation>
    <dataValidation type="date" allowBlank="1" showInputMessage="1" showErrorMessage="1" promptTitle="Registro de información" prompt="Diligenciar la fecha de diligenciamiento de esta hoja (DD/MM/AAAA)" sqref="O5:Q6" xr:uid="{2CC7911C-018D-47E6-B7B9-D3CA2D0006F1}">
      <formula1>44927</formula1>
      <formula2>47484</formula2>
    </dataValidation>
  </dataValidations>
  <hyperlinks>
    <hyperlink ref="B10:C10" location="Abogados!A1" display="Abogados" xr:uid="{856A7199-CF8F-4FA1-999E-830ECFE6D31B}"/>
    <hyperlink ref="B12:C12" location="Judiciales!A1" display="Judiciales" xr:uid="{869CB553-7D5F-47F9-8D8D-8A59CEA80A97}"/>
    <hyperlink ref="B18:C18" location="Pagos!A1" display="Pagos" xr:uid="{4A60C249-8C3A-4A34-9BAA-E83CA654621F}"/>
    <hyperlink ref="B8:C8" location="Usuarios!A1" display="Usuarios" xr:uid="{D94570D6-5F91-41B0-8C20-15196B37EC1F}"/>
    <hyperlink ref="B16:C16" location="'Comité de conciliación'!A1" display="Comité de conciliación" xr:uid="{5B3FEF0A-B341-4507-A84B-1DC9F081590C}"/>
    <hyperlink ref="B20:C20" location="Resumen!A1" display="Resumen general" xr:uid="{4149D131-DC2E-4CAD-B7A9-41AF511B74E6}"/>
    <hyperlink ref="B14:C14" location="Arbitramentos!A1" display="Arbitramentos" xr:uid="{4AF83F43-27FC-4730-8EEC-8B72CE692FF3}"/>
    <hyperlink ref="B6:C6" location="Portada!A1" display="Portada" xr:uid="{A337405C-5526-490C-B537-03CAFB9B2A9C}"/>
    <hyperlink ref="W15:Y16" r:id="rId1" display="Acceder al manual" xr:uid="{66B7A43F-E64C-4718-B58B-DBF1B8DDD54B}"/>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8A61-2B12-4304-B825-6E1386927C69}">
  <dimension ref="B2:Y26"/>
  <sheetViews>
    <sheetView showRowColHeaders="0" topLeftCell="B1" zoomScaleNormal="100" workbookViewId="0">
      <selection activeCell="P15" sqref="P15:S15"/>
    </sheetView>
  </sheetViews>
  <sheetFormatPr baseColWidth="10" defaultColWidth="11.42578125" defaultRowHeight="15"/>
  <cols>
    <col min="1" max="1" width="0" style="2" hidden="1" customWidth="1"/>
    <col min="2" max="3" width="16.28515625" style="4" customWidth="1"/>
    <col min="4" max="14" width="9.140625" style="2" customWidth="1"/>
    <col min="15" max="15" width="9.140625" style="2" hidden="1" customWidth="1"/>
    <col min="16" max="19" width="9.140625" style="2" customWidth="1"/>
    <col min="20" max="21" width="9.140625" style="2" hidden="1" customWidth="1"/>
    <col min="22" max="46" width="9.140625" style="2" customWidth="1"/>
    <col min="47" max="16384" width="11.42578125" style="2"/>
  </cols>
  <sheetData>
    <row r="2" spans="2:25">
      <c r="B2" s="92"/>
      <c r="C2" s="92"/>
      <c r="E2" s="89" t="s">
        <v>18</v>
      </c>
      <c r="F2" s="89"/>
      <c r="G2" s="89"/>
      <c r="H2" s="89"/>
      <c r="I2" s="89"/>
      <c r="J2" s="89"/>
      <c r="K2" s="89"/>
      <c r="L2" s="89"/>
      <c r="M2" s="89"/>
      <c r="N2" s="89"/>
      <c r="O2" s="89"/>
      <c r="P2" s="89"/>
      <c r="Q2" s="89"/>
      <c r="R2" s="89"/>
      <c r="S2" s="89"/>
      <c r="T2" s="89"/>
      <c r="U2" s="89"/>
      <c r="V2" s="89"/>
      <c r="W2" s="89"/>
      <c r="X2" s="89"/>
      <c r="Y2" s="89"/>
    </row>
    <row r="3" spans="2:25" ht="15.75" thickBot="1">
      <c r="B3" s="92"/>
      <c r="C3" s="92"/>
      <c r="E3" s="90"/>
      <c r="F3" s="90"/>
      <c r="G3" s="90"/>
      <c r="H3" s="90"/>
      <c r="I3" s="90"/>
      <c r="J3" s="90"/>
      <c r="K3" s="90"/>
      <c r="L3" s="90"/>
      <c r="M3" s="90"/>
      <c r="N3" s="90"/>
      <c r="O3" s="90"/>
      <c r="P3" s="90"/>
      <c r="Q3" s="90"/>
      <c r="R3" s="90"/>
      <c r="S3" s="90"/>
      <c r="T3" s="90"/>
      <c r="U3" s="90"/>
      <c r="V3" s="90"/>
      <c r="W3" s="90"/>
      <c r="X3" s="90"/>
      <c r="Y3" s="90"/>
    </row>
    <row r="4" spans="2:25">
      <c r="B4" s="92"/>
      <c r="C4" s="92"/>
      <c r="Q4" s="206" t="s">
        <v>23</v>
      </c>
      <c r="R4" s="206"/>
      <c r="S4" s="206"/>
    </row>
    <row r="5" spans="2:25">
      <c r="Q5" s="136">
        <v>45705</v>
      </c>
      <c r="R5" s="136"/>
      <c r="S5" s="136"/>
    </row>
    <row r="6" spans="2:25" ht="19.5">
      <c r="B6" s="93" t="s">
        <v>4</v>
      </c>
      <c r="C6" s="93"/>
      <c r="E6" s="190" t="s">
        <v>115</v>
      </c>
      <c r="F6" s="190"/>
      <c r="G6" s="190"/>
      <c r="H6" s="190"/>
      <c r="I6" s="190"/>
      <c r="J6" s="190"/>
      <c r="K6" s="190"/>
      <c r="L6" s="245"/>
      <c r="M6" s="246" t="s">
        <v>116</v>
      </c>
      <c r="N6" s="246"/>
      <c r="Q6" s="136"/>
      <c r="R6" s="136"/>
      <c r="S6" s="136"/>
      <c r="W6" s="43"/>
      <c r="X6" s="43"/>
      <c r="Y6" s="43"/>
    </row>
    <row r="7" spans="2:25">
      <c r="B7" s="3"/>
      <c r="C7" s="3"/>
      <c r="E7" s="190"/>
      <c r="F7" s="190"/>
      <c r="G7" s="190"/>
      <c r="H7" s="190"/>
      <c r="I7" s="190"/>
      <c r="J7" s="190"/>
      <c r="K7" s="190"/>
      <c r="L7" s="245"/>
      <c r="M7" s="246"/>
      <c r="N7" s="246"/>
      <c r="W7" s="192" t="s">
        <v>117</v>
      </c>
      <c r="X7" s="192"/>
      <c r="Y7" s="192"/>
    </row>
    <row r="8" spans="2:25" ht="19.5">
      <c r="B8" s="93" t="s">
        <v>8</v>
      </c>
      <c r="C8" s="93"/>
      <c r="W8" s="192"/>
      <c r="X8" s="192"/>
      <c r="Y8" s="192"/>
    </row>
    <row r="9" spans="2:25">
      <c r="B9" s="3"/>
      <c r="C9" s="3"/>
      <c r="E9" s="244" t="s">
        <v>118</v>
      </c>
      <c r="F9" s="244"/>
      <c r="G9" s="244"/>
      <c r="H9" s="244"/>
      <c r="I9" s="244"/>
      <c r="J9" s="244"/>
      <c r="K9" s="244"/>
      <c r="L9" s="244"/>
      <c r="M9" s="244"/>
      <c r="N9" s="244"/>
      <c r="W9" s="192"/>
      <c r="X9" s="192"/>
      <c r="Y9" s="192"/>
    </row>
    <row r="10" spans="2:25" ht="19.5">
      <c r="B10" s="93" t="s">
        <v>10</v>
      </c>
      <c r="C10" s="93"/>
      <c r="E10" s="244"/>
      <c r="F10" s="244"/>
      <c r="G10" s="244"/>
      <c r="H10" s="244"/>
      <c r="I10" s="244"/>
      <c r="J10" s="244"/>
      <c r="K10" s="244"/>
      <c r="L10" s="244"/>
      <c r="M10" s="244"/>
      <c r="N10" s="244"/>
      <c r="W10" s="192"/>
      <c r="X10" s="192"/>
      <c r="Y10" s="192"/>
    </row>
    <row r="11" spans="2:25" ht="19.5">
      <c r="B11" s="93"/>
      <c r="C11" s="93"/>
      <c r="E11" s="166">
        <v>971</v>
      </c>
      <c r="F11" s="166"/>
      <c r="G11" s="166"/>
      <c r="H11" s="166"/>
      <c r="I11" s="166"/>
      <c r="J11" s="166"/>
      <c r="K11" s="166"/>
      <c r="L11" s="166"/>
      <c r="M11" s="166"/>
      <c r="N11" s="166"/>
      <c r="W11" s="192"/>
      <c r="X11" s="192"/>
      <c r="Y11" s="192"/>
    </row>
    <row r="12" spans="2:25" ht="19.5">
      <c r="B12" s="93" t="s">
        <v>11</v>
      </c>
      <c r="C12" s="93"/>
      <c r="E12" s="166"/>
      <c r="F12" s="166"/>
      <c r="G12" s="166"/>
      <c r="H12" s="166"/>
      <c r="I12" s="166"/>
      <c r="J12" s="166"/>
      <c r="K12" s="166"/>
      <c r="L12" s="166"/>
      <c r="M12" s="166"/>
      <c r="N12" s="166"/>
      <c r="W12" s="192"/>
      <c r="X12" s="192"/>
      <c r="Y12" s="192"/>
    </row>
    <row r="13" spans="2:25" ht="19.5">
      <c r="B13" s="93"/>
      <c r="C13" s="93"/>
      <c r="W13" s="40"/>
      <c r="X13" s="40"/>
      <c r="Y13" s="40"/>
    </row>
    <row r="14" spans="2:25" ht="19.5">
      <c r="B14" s="93" t="s">
        <v>12</v>
      </c>
      <c r="C14" s="93"/>
      <c r="E14" s="198" t="s">
        <v>43</v>
      </c>
      <c r="F14" s="198"/>
      <c r="G14" s="18"/>
      <c r="W14" s="243" t="s">
        <v>21</v>
      </c>
      <c r="X14" s="243"/>
      <c r="Y14" s="243"/>
    </row>
    <row r="15" spans="2:25" ht="20.25">
      <c r="B15" s="93"/>
      <c r="C15" s="93"/>
      <c r="E15" s="198"/>
      <c r="F15" s="198"/>
      <c r="G15" s="18"/>
      <c r="P15" s="183"/>
      <c r="Q15" s="183"/>
      <c r="R15" s="183"/>
      <c r="S15" s="183"/>
      <c r="T15" s="55"/>
      <c r="W15" s="243"/>
      <c r="X15" s="243"/>
      <c r="Y15" s="243"/>
    </row>
    <row r="16" spans="2:25" ht="19.5">
      <c r="B16" s="93" t="s">
        <v>17</v>
      </c>
      <c r="C16" s="93"/>
      <c r="E16" s="121" t="s">
        <v>659</v>
      </c>
      <c r="F16" s="166"/>
      <c r="G16" s="166"/>
      <c r="H16" s="166"/>
      <c r="I16" s="166"/>
      <c r="J16" s="166"/>
      <c r="K16" s="166"/>
      <c r="L16" s="166"/>
      <c r="M16" s="166"/>
      <c r="N16" s="166"/>
      <c r="W16" s="40"/>
      <c r="X16" s="40"/>
      <c r="Y16" s="40"/>
    </row>
    <row r="17" spans="2:21" ht="19.5">
      <c r="B17" s="93"/>
      <c r="C17" s="93"/>
      <c r="E17" s="166"/>
      <c r="F17" s="166"/>
      <c r="G17" s="166"/>
      <c r="H17" s="166"/>
      <c r="I17" s="166"/>
      <c r="J17" s="166"/>
      <c r="K17" s="166"/>
      <c r="L17" s="166"/>
      <c r="M17" s="166"/>
      <c r="N17" s="166"/>
    </row>
    <row r="18" spans="2:21" ht="19.5">
      <c r="B18" s="93" t="s">
        <v>18</v>
      </c>
      <c r="C18" s="93"/>
      <c r="E18" s="166"/>
      <c r="F18" s="166"/>
      <c r="G18" s="166"/>
      <c r="H18" s="166"/>
      <c r="I18" s="166"/>
      <c r="J18" s="166"/>
      <c r="K18" s="166"/>
      <c r="L18" s="166"/>
      <c r="M18" s="166"/>
      <c r="N18" s="166"/>
    </row>
    <row r="19" spans="2:21" ht="19.5">
      <c r="B19" s="93"/>
      <c r="C19" s="93"/>
      <c r="E19" s="166"/>
      <c r="F19" s="166"/>
      <c r="G19" s="166"/>
      <c r="H19" s="166"/>
      <c r="I19" s="166"/>
      <c r="J19" s="166"/>
      <c r="K19" s="166"/>
      <c r="L19" s="166"/>
      <c r="M19" s="166"/>
      <c r="N19" s="166"/>
    </row>
    <row r="20" spans="2:21" ht="19.5">
      <c r="B20" s="93" t="s">
        <v>19</v>
      </c>
      <c r="C20" s="93"/>
      <c r="E20" s="166"/>
      <c r="F20" s="166"/>
      <c r="G20" s="166"/>
      <c r="H20" s="166"/>
      <c r="I20" s="166"/>
      <c r="J20" s="166"/>
      <c r="K20" s="166"/>
      <c r="L20" s="166"/>
      <c r="M20" s="166"/>
      <c r="N20" s="166"/>
      <c r="U20" s="13"/>
    </row>
    <row r="21" spans="2:21" ht="19.5">
      <c r="B21" s="93"/>
      <c r="C21" s="93"/>
      <c r="E21" s="166"/>
      <c r="F21" s="166"/>
      <c r="G21" s="166"/>
      <c r="H21" s="166"/>
      <c r="I21" s="166"/>
      <c r="J21" s="166"/>
      <c r="K21" s="166"/>
      <c r="L21" s="166"/>
      <c r="M21" s="166"/>
      <c r="N21" s="166"/>
    </row>
    <row r="26" spans="2:21">
      <c r="J26" s="13"/>
    </row>
  </sheetData>
  <sheetProtection algorithmName="SHA-512" hashValue="D9NE+qNn0quDcFnutPnBssxasQYP/bhCQN9qxGu0QTaFXyAahOQygbyaGK8H9kjfCuLUMU+8oQ4JqUiQFGXbYw==" saltValue="DNsmHaGYQH17HGp9PgGEVA==" spinCount="100000" sheet="1" objects="1" scenarios="1"/>
  <mergeCells count="27">
    <mergeCell ref="E2:Y3"/>
    <mergeCell ref="E9:N10"/>
    <mergeCell ref="B2:C4"/>
    <mergeCell ref="B6:C6"/>
    <mergeCell ref="B8:C8"/>
    <mergeCell ref="W7:Y12"/>
    <mergeCell ref="E6:L7"/>
    <mergeCell ref="M6:N7"/>
    <mergeCell ref="B10:C10"/>
    <mergeCell ref="B12:C12"/>
    <mergeCell ref="Q4:S4"/>
    <mergeCell ref="Q5:S6"/>
    <mergeCell ref="B11:C11"/>
    <mergeCell ref="W14:Y15"/>
    <mergeCell ref="B16:C16"/>
    <mergeCell ref="B18:C18"/>
    <mergeCell ref="B20:C20"/>
    <mergeCell ref="B17:C17"/>
    <mergeCell ref="B19:C19"/>
    <mergeCell ref="B14:C14"/>
    <mergeCell ref="P15:S15"/>
    <mergeCell ref="E16:N21"/>
    <mergeCell ref="B13:C13"/>
    <mergeCell ref="B15:C15"/>
    <mergeCell ref="E11:N12"/>
    <mergeCell ref="E14:F15"/>
    <mergeCell ref="B21:C21"/>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T15" xr:uid="{2B1708C5-9173-4F20-820E-0AC17F8CC8F9}">
      <formula1>$J$15:$J$17</formula1>
    </dataValidation>
    <dataValidation type="date" allowBlank="1" showInputMessage="1" showErrorMessage="1" promptTitle="Generación del reporte" prompt="Diligenciar la fecha de diligenciamiento de esta hoja formato DD/MM/AAAA" sqref="Q5:S6" xr:uid="{2385A9BF-8814-4CE2-B131-A5F58C88013C}">
      <formula1>44927</formula1>
      <formula2>47484</formula2>
    </dataValidation>
  </dataValidations>
  <hyperlinks>
    <hyperlink ref="B10:C10" location="Abogados!A1" display="Abogados" xr:uid="{508D258A-ED06-4911-B165-92A9107152CB}"/>
    <hyperlink ref="B12:C12" location="Judiciales!A1" display="Judiciales" xr:uid="{F71C314E-50BC-4EDE-8A01-32B653CA7C48}"/>
    <hyperlink ref="B18:C18" location="Pagos!A1" display="Pagos" xr:uid="{C80E2F31-E8BC-40CC-81A2-8AB78A7E0977}"/>
    <hyperlink ref="B8:C8" location="Usuarios!A1" display="Usuarios" xr:uid="{683F0400-265C-4AE1-AEC5-B74C7187A5B6}"/>
    <hyperlink ref="B16:C16" location="'Comité de conciliación'!A1" display="Comité de conciliación" xr:uid="{D0538546-9A18-4762-BF37-59E20691F7B2}"/>
    <hyperlink ref="B20:C20" location="Resumen!A1" display="Resumen general" xr:uid="{F52D21A6-B16F-492E-B6A0-C9A15CCA2EB0}"/>
    <hyperlink ref="B14:C14" location="Arbitramentos!A1" display="Arbitramentos" xr:uid="{CC72B065-FF93-40C8-9415-57379134BB6E}"/>
    <hyperlink ref="B6:C6" location="Portada!A1" display="Portada" xr:uid="{F9163B8F-C5CD-4D52-A96B-3B86B2391803}"/>
    <hyperlink ref="W14:Y15" r:id="rId1" display="Acceder al manual" xr:uid="{FFF40801-27B2-416F-A698-F4893E707D01}"/>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1" id="{1B4F85A1-3D39-4DF2-9092-690576FE83F7}">
            <xm:f>Administrador!$B$25="N/A"</xm:f>
            <x14:dxf>
              <font>
                <color theme="0" tint="-4.9989318521683403E-2"/>
              </font>
              <fill>
                <patternFill>
                  <bgColor theme="0" tint="-4.9989318521683403E-2"/>
                </patternFill>
              </fill>
              <border>
                <left/>
                <right/>
                <top/>
                <bottom/>
                <vertical/>
                <horizontal/>
              </border>
            </x14:dxf>
          </x14:cfRule>
          <x14:cfRule type="expression" priority="2" id="{559164D5-4C25-40D7-B94E-49C695592D08}">
            <xm:f>Administrador!$B$25="No"</xm:f>
            <x14:dxf>
              <font>
                <color theme="0" tint="-4.9989318521683403E-2"/>
              </font>
              <fill>
                <patternFill>
                  <bgColor theme="0" tint="-4.9989318521683403E-2"/>
                </patternFill>
              </fill>
              <border>
                <left/>
                <right/>
                <top/>
                <bottom/>
              </border>
            </x14:dxf>
          </x14:cfRule>
          <xm:sqref>A1:XFD5 E6 M6 A6:D9 O6:O9 V6:XFD13 E9:N12 A10:O10 A11:D12 O11:O12 A13:O13 E14:J15 A14:D21 O14:XFD21 E16 A22:XFD1048576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r:uid="{19F2FA49-ABB7-44AB-AC79-13C08742E918}">
          <x14:formula1>
            <xm:f>Administrador!$D$31:$D$32</xm:f>
          </x14:formula1>
          <xm:sqref>M6:N7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F05F-1183-4FAF-94B9-D7A6861DF3C4}">
  <dimension ref="A1:CQ4"/>
  <sheetViews>
    <sheetView topLeftCell="CD1" workbookViewId="0">
      <selection activeCell="CO1" sqref="CO1:CQ1"/>
    </sheetView>
  </sheetViews>
  <sheetFormatPr baseColWidth="10" defaultColWidth="11.42578125" defaultRowHeight="15"/>
  <sheetData>
    <row r="1" spans="1:95">
      <c r="A1" t="s">
        <v>4</v>
      </c>
      <c r="B1" t="s">
        <v>8</v>
      </c>
      <c r="C1" t="s">
        <v>8</v>
      </c>
      <c r="D1" t="s">
        <v>8</v>
      </c>
      <c r="E1" t="s">
        <v>8</v>
      </c>
      <c r="F1" t="s">
        <v>8</v>
      </c>
      <c r="G1" t="s">
        <v>8</v>
      </c>
      <c r="H1" t="s">
        <v>8</v>
      </c>
      <c r="I1" t="s">
        <v>8</v>
      </c>
      <c r="J1" t="s">
        <v>8</v>
      </c>
      <c r="K1" t="s">
        <v>8</v>
      </c>
      <c r="L1" t="s">
        <v>8</v>
      </c>
      <c r="M1" t="s">
        <v>8</v>
      </c>
      <c r="N1" t="s">
        <v>8</v>
      </c>
      <c r="O1" t="s">
        <v>8</v>
      </c>
      <c r="P1" t="s">
        <v>8</v>
      </c>
      <c r="Q1" t="s">
        <v>8</v>
      </c>
      <c r="R1" t="s">
        <v>8</v>
      </c>
      <c r="S1" t="s">
        <v>8</v>
      </c>
      <c r="T1" t="s">
        <v>8</v>
      </c>
      <c r="U1" t="s">
        <v>8</v>
      </c>
      <c r="V1" t="s">
        <v>8</v>
      </c>
      <c r="W1" t="s">
        <v>8</v>
      </c>
      <c r="X1" t="s">
        <v>8</v>
      </c>
      <c r="Y1" t="s">
        <v>8</v>
      </c>
      <c r="Z1" t="s">
        <v>8</v>
      </c>
      <c r="AA1" t="s">
        <v>8</v>
      </c>
      <c r="AB1" t="s">
        <v>10</v>
      </c>
      <c r="AC1" t="s">
        <v>10</v>
      </c>
      <c r="AD1" t="s">
        <v>10</v>
      </c>
      <c r="AE1" t="s">
        <v>10</v>
      </c>
      <c r="AF1" t="s">
        <v>10</v>
      </c>
      <c r="AG1" t="s">
        <v>10</v>
      </c>
      <c r="AH1" t="s">
        <v>10</v>
      </c>
      <c r="AI1" t="s">
        <v>10</v>
      </c>
      <c r="AJ1" t="s">
        <v>10</v>
      </c>
      <c r="AK1" t="s">
        <v>10</v>
      </c>
      <c r="AL1" t="s">
        <v>10</v>
      </c>
      <c r="AM1" t="s">
        <v>10</v>
      </c>
      <c r="AN1" t="s">
        <v>10</v>
      </c>
      <c r="AO1" t="s">
        <v>119</v>
      </c>
      <c r="AP1" t="s">
        <v>119</v>
      </c>
      <c r="AQ1" t="s">
        <v>119</v>
      </c>
      <c r="AR1" t="s">
        <v>119</v>
      </c>
      <c r="AS1" t="s">
        <v>119</v>
      </c>
      <c r="AT1" t="s">
        <v>119</v>
      </c>
      <c r="AU1" t="s">
        <v>119</v>
      </c>
      <c r="AV1" t="s">
        <v>119</v>
      </c>
      <c r="AW1" t="s">
        <v>119</v>
      </c>
      <c r="AX1" t="s">
        <v>119</v>
      </c>
      <c r="AY1" t="s">
        <v>119</v>
      </c>
      <c r="AZ1" t="s">
        <v>119</v>
      </c>
      <c r="BA1" t="s">
        <v>119</v>
      </c>
      <c r="BB1" t="s">
        <v>11</v>
      </c>
      <c r="BC1" t="s">
        <v>11</v>
      </c>
      <c r="BD1" t="s">
        <v>11</v>
      </c>
      <c r="BE1" t="s">
        <v>11</v>
      </c>
      <c r="BF1" t="s">
        <v>11</v>
      </c>
      <c r="BG1" t="s">
        <v>11</v>
      </c>
      <c r="BH1" t="s">
        <v>11</v>
      </c>
      <c r="BI1" t="s">
        <v>11</v>
      </c>
      <c r="BJ1" t="s">
        <v>11</v>
      </c>
      <c r="BK1" t="s">
        <v>11</v>
      </c>
      <c r="BL1" t="s">
        <v>11</v>
      </c>
      <c r="BM1" t="s">
        <v>11</v>
      </c>
      <c r="BN1" t="s">
        <v>11</v>
      </c>
      <c r="BO1" t="s">
        <v>11</v>
      </c>
      <c r="BP1" t="s">
        <v>11</v>
      </c>
      <c r="BQ1" t="s">
        <v>11</v>
      </c>
      <c r="BR1" t="s">
        <v>11</v>
      </c>
      <c r="BS1" t="s">
        <v>11</v>
      </c>
      <c r="BT1" t="s">
        <v>11</v>
      </c>
      <c r="BU1" t="s">
        <v>11</v>
      </c>
      <c r="BV1" t="s">
        <v>11</v>
      </c>
      <c r="BW1" t="s">
        <v>11</v>
      </c>
      <c r="BX1" t="s">
        <v>11</v>
      </c>
      <c r="BY1" t="s">
        <v>11</v>
      </c>
      <c r="BZ1" t="s">
        <v>11</v>
      </c>
      <c r="CA1" t="s">
        <v>11</v>
      </c>
      <c r="CB1" t="s">
        <v>11</v>
      </c>
      <c r="CC1" t="s">
        <v>11</v>
      </c>
      <c r="CD1" t="s">
        <v>11</v>
      </c>
      <c r="CE1" t="s">
        <v>12</v>
      </c>
      <c r="CF1" t="s">
        <v>12</v>
      </c>
      <c r="CG1" t="s">
        <v>12</v>
      </c>
      <c r="CH1" t="s">
        <v>12</v>
      </c>
      <c r="CI1" t="s">
        <v>12</v>
      </c>
      <c r="CJ1" t="s">
        <v>12</v>
      </c>
      <c r="CK1" t="s">
        <v>18</v>
      </c>
      <c r="CL1" t="s">
        <v>18</v>
      </c>
      <c r="CM1" t="s">
        <v>18</v>
      </c>
      <c r="CN1" t="s">
        <v>18</v>
      </c>
      <c r="CO1" t="s">
        <v>120</v>
      </c>
      <c r="CP1" t="s">
        <v>120</v>
      </c>
      <c r="CQ1" t="s">
        <v>120</v>
      </c>
    </row>
    <row r="2" spans="1:95">
      <c r="C2" t="s">
        <v>121</v>
      </c>
      <c r="D2" t="s">
        <v>121</v>
      </c>
      <c r="E2" t="s">
        <v>121</v>
      </c>
      <c r="F2" t="s">
        <v>121</v>
      </c>
      <c r="G2" t="s">
        <v>122</v>
      </c>
      <c r="H2" t="s">
        <v>122</v>
      </c>
      <c r="I2" t="s">
        <v>122</v>
      </c>
      <c r="J2" t="s">
        <v>122</v>
      </c>
      <c r="K2" t="s">
        <v>18</v>
      </c>
      <c r="L2" t="s">
        <v>18</v>
      </c>
      <c r="M2" t="s">
        <v>18</v>
      </c>
      <c r="N2" t="s">
        <v>18</v>
      </c>
      <c r="O2" t="s">
        <v>123</v>
      </c>
      <c r="P2" t="s">
        <v>123</v>
      </c>
      <c r="Q2" t="s">
        <v>123</v>
      </c>
      <c r="R2" t="s">
        <v>123</v>
      </c>
      <c r="S2" t="s">
        <v>124</v>
      </c>
      <c r="T2" t="s">
        <v>124</v>
      </c>
      <c r="U2" t="s">
        <v>124</v>
      </c>
      <c r="V2" t="s">
        <v>124</v>
      </c>
      <c r="W2" t="s">
        <v>125</v>
      </c>
      <c r="X2" t="s">
        <v>125</v>
      </c>
      <c r="Y2" t="s">
        <v>125</v>
      </c>
      <c r="Z2" t="s">
        <v>125</v>
      </c>
      <c r="AC2" t="s">
        <v>126</v>
      </c>
      <c r="AD2" t="s">
        <v>126</v>
      </c>
      <c r="AE2" t="s">
        <v>126</v>
      </c>
      <c r="AF2" t="s">
        <v>126</v>
      </c>
      <c r="AG2" t="s">
        <v>127</v>
      </c>
      <c r="AH2" t="s">
        <v>127</v>
      </c>
      <c r="AI2" t="s">
        <v>127</v>
      </c>
      <c r="AJ2" t="s">
        <v>128</v>
      </c>
      <c r="AK2" t="s">
        <v>128</v>
      </c>
      <c r="AL2" t="s">
        <v>128</v>
      </c>
      <c r="AM2" t="s">
        <v>128</v>
      </c>
      <c r="AP2" t="s">
        <v>129</v>
      </c>
      <c r="AQ2" t="s">
        <v>129</v>
      </c>
      <c r="AR2" t="s">
        <v>130</v>
      </c>
      <c r="AS2" t="s">
        <v>130</v>
      </c>
      <c r="AT2" t="s">
        <v>130</v>
      </c>
      <c r="AU2" t="s">
        <v>130</v>
      </c>
      <c r="AV2" t="s">
        <v>130</v>
      </c>
      <c r="AW2" t="s">
        <v>130</v>
      </c>
      <c r="AX2" t="s">
        <v>131</v>
      </c>
      <c r="AY2" t="s">
        <v>131</v>
      </c>
      <c r="AZ2" t="s">
        <v>131</v>
      </c>
      <c r="BC2" t="s">
        <v>132</v>
      </c>
      <c r="BD2" t="s">
        <v>132</v>
      </c>
      <c r="BE2" t="s">
        <v>132</v>
      </c>
      <c r="BF2" t="s">
        <v>133</v>
      </c>
      <c r="BG2" t="s">
        <v>133</v>
      </c>
      <c r="BH2" t="s">
        <v>94</v>
      </c>
      <c r="BI2" t="s">
        <v>94</v>
      </c>
      <c r="BJ2" t="s">
        <v>103</v>
      </c>
      <c r="BK2" t="s">
        <v>103</v>
      </c>
      <c r="BL2" t="s">
        <v>103</v>
      </c>
      <c r="BM2" t="s">
        <v>103</v>
      </c>
      <c r="BN2" t="s">
        <v>103</v>
      </c>
      <c r="BO2" t="s">
        <v>134</v>
      </c>
      <c r="BP2" t="s">
        <v>134</v>
      </c>
      <c r="BQ2" t="s">
        <v>134</v>
      </c>
      <c r="BR2" t="s">
        <v>135</v>
      </c>
      <c r="BS2" t="s">
        <v>135</v>
      </c>
      <c r="BT2" t="s">
        <v>135</v>
      </c>
      <c r="BU2" t="s">
        <v>135</v>
      </c>
      <c r="BV2" t="s">
        <v>136</v>
      </c>
      <c r="BW2" t="s">
        <v>136</v>
      </c>
      <c r="BX2" t="s">
        <v>136</v>
      </c>
      <c r="BY2" t="s">
        <v>136</v>
      </c>
      <c r="BZ2" t="s">
        <v>136</v>
      </c>
      <c r="CA2" t="s">
        <v>136</v>
      </c>
      <c r="CB2" t="s">
        <v>136</v>
      </c>
      <c r="CC2" t="s">
        <v>136</v>
      </c>
      <c r="CF2" t="s">
        <v>132</v>
      </c>
      <c r="CG2" t="s">
        <v>132</v>
      </c>
      <c r="CH2" t="s">
        <v>133</v>
      </c>
      <c r="CI2" t="s">
        <v>133</v>
      </c>
    </row>
    <row r="3" spans="1:95">
      <c r="B3" t="s">
        <v>137</v>
      </c>
      <c r="C3" t="s">
        <v>138</v>
      </c>
      <c r="D3" t="s">
        <v>139</v>
      </c>
      <c r="E3" t="s">
        <v>28</v>
      </c>
      <c r="F3" t="s">
        <v>128</v>
      </c>
      <c r="G3" t="s">
        <v>138</v>
      </c>
      <c r="H3" t="s">
        <v>139</v>
      </c>
      <c r="I3" t="s">
        <v>28</v>
      </c>
      <c r="J3" t="s">
        <v>128</v>
      </c>
      <c r="K3" t="s">
        <v>138</v>
      </c>
      <c r="L3" t="s">
        <v>139</v>
      </c>
      <c r="M3" t="s">
        <v>28</v>
      </c>
      <c r="N3" t="s">
        <v>128</v>
      </c>
      <c r="O3" t="s">
        <v>138</v>
      </c>
      <c r="P3" t="s">
        <v>139</v>
      </c>
      <c r="Q3" t="s">
        <v>28</v>
      </c>
      <c r="R3" t="s">
        <v>128</v>
      </c>
      <c r="S3" t="s">
        <v>138</v>
      </c>
      <c r="T3" t="s">
        <v>139</v>
      </c>
      <c r="U3" t="s">
        <v>28</v>
      </c>
      <c r="V3" t="s">
        <v>128</v>
      </c>
      <c r="W3" t="s">
        <v>138</v>
      </c>
      <c r="X3" t="s">
        <v>139</v>
      </c>
      <c r="Y3" t="s">
        <v>28</v>
      </c>
      <c r="Z3" t="s">
        <v>128</v>
      </c>
      <c r="AA3" t="s">
        <v>140</v>
      </c>
      <c r="AB3" t="s">
        <v>23</v>
      </c>
      <c r="AC3" t="s">
        <v>48</v>
      </c>
      <c r="AD3" t="s">
        <v>49</v>
      </c>
      <c r="AE3" t="s">
        <v>50</v>
      </c>
      <c r="AF3" t="s">
        <v>51</v>
      </c>
      <c r="AG3" t="s">
        <v>141</v>
      </c>
      <c r="AH3" t="s">
        <v>142</v>
      </c>
      <c r="AI3" t="s">
        <v>143</v>
      </c>
      <c r="AJ3" t="s">
        <v>54</v>
      </c>
      <c r="AK3" t="s">
        <v>55</v>
      </c>
      <c r="AL3" t="s">
        <v>56</v>
      </c>
      <c r="AM3" t="s">
        <v>57</v>
      </c>
      <c r="AN3" t="s">
        <v>43</v>
      </c>
      <c r="AO3" t="s">
        <v>137</v>
      </c>
      <c r="AP3" t="s">
        <v>144</v>
      </c>
      <c r="AQ3" t="s">
        <v>145</v>
      </c>
      <c r="AR3" t="s">
        <v>146</v>
      </c>
      <c r="AS3" t="s">
        <v>147</v>
      </c>
      <c r="AT3" t="s">
        <v>148</v>
      </c>
      <c r="AU3" t="s">
        <v>149</v>
      </c>
      <c r="AV3" t="s">
        <v>150</v>
      </c>
      <c r="AW3" t="s">
        <v>151</v>
      </c>
      <c r="AX3" t="s">
        <v>152</v>
      </c>
      <c r="AY3" t="s">
        <v>11</v>
      </c>
      <c r="AZ3" t="s">
        <v>153</v>
      </c>
      <c r="BA3" t="s">
        <v>43</v>
      </c>
      <c r="BB3" t="s">
        <v>137</v>
      </c>
      <c r="BC3" t="s">
        <v>154</v>
      </c>
      <c r="BD3" t="s">
        <v>155</v>
      </c>
      <c r="BE3" t="s">
        <v>156</v>
      </c>
      <c r="BF3" t="s">
        <v>154</v>
      </c>
      <c r="BG3" t="s">
        <v>155</v>
      </c>
      <c r="BH3" t="s">
        <v>157</v>
      </c>
      <c r="BI3" t="s">
        <v>158</v>
      </c>
      <c r="BJ3" t="s">
        <v>106</v>
      </c>
      <c r="BK3" t="s">
        <v>108</v>
      </c>
      <c r="BL3" t="s">
        <v>109</v>
      </c>
      <c r="BM3" t="s">
        <v>110</v>
      </c>
      <c r="BN3" t="s">
        <v>111</v>
      </c>
      <c r="BO3" t="s">
        <v>159</v>
      </c>
      <c r="BP3" t="s">
        <v>160</v>
      </c>
      <c r="BQ3" t="s">
        <v>161</v>
      </c>
      <c r="BR3" t="s">
        <v>162</v>
      </c>
      <c r="BS3" t="s">
        <v>163</v>
      </c>
      <c r="BT3" t="s">
        <v>164</v>
      </c>
      <c r="BU3" t="s">
        <v>165</v>
      </c>
      <c r="BV3" t="s">
        <v>166</v>
      </c>
      <c r="BW3" t="s">
        <v>167</v>
      </c>
      <c r="BX3" t="s">
        <v>168</v>
      </c>
      <c r="BY3" t="s">
        <v>169</v>
      </c>
      <c r="BZ3" t="s">
        <v>170</v>
      </c>
      <c r="CA3" t="s">
        <v>171</v>
      </c>
      <c r="CB3" t="s">
        <v>172</v>
      </c>
      <c r="CC3" t="s">
        <v>173</v>
      </c>
      <c r="CD3" t="s">
        <v>43</v>
      </c>
      <c r="CE3" t="s">
        <v>137</v>
      </c>
      <c r="CF3" t="s">
        <v>174</v>
      </c>
      <c r="CG3" t="s">
        <v>175</v>
      </c>
      <c r="CH3" t="s">
        <v>176</v>
      </c>
      <c r="CI3" t="s">
        <v>177</v>
      </c>
      <c r="CJ3" t="s">
        <v>43</v>
      </c>
      <c r="CK3" t="s">
        <v>137</v>
      </c>
      <c r="CL3" t="s">
        <v>178</v>
      </c>
      <c r="CM3" t="s">
        <v>179</v>
      </c>
      <c r="CN3" t="s">
        <v>43</v>
      </c>
      <c r="CO3" t="s">
        <v>180</v>
      </c>
      <c r="CP3" t="s">
        <v>181</v>
      </c>
      <c r="CQ3" t="s">
        <v>182</v>
      </c>
    </row>
    <row r="4" spans="1:95">
      <c r="A4" t="str">
        <f>Portada!I6</f>
        <v>II - 2024</v>
      </c>
      <c r="B4">
        <f>+Usuarios!Q6</f>
        <v>45700</v>
      </c>
      <c r="C4" t="str">
        <f>+Usuarios!$H$12</f>
        <v>Si</v>
      </c>
      <c r="D4">
        <f>+Usuarios!$J$12</f>
        <v>44817</v>
      </c>
      <c r="E4" t="str">
        <f>+Usuarios!$M$12</f>
        <v>ALBA PATRICIA CASTELLANOS RAMIREZ</v>
      </c>
      <c r="F4">
        <f>+Usuarios!$Q$12</f>
        <v>44846</v>
      </c>
      <c r="G4" t="str">
        <f>+Usuarios!$H$14</f>
        <v>Si</v>
      </c>
      <c r="H4" s="78">
        <f>+Usuarios!$J$14</f>
        <v>45538</v>
      </c>
      <c r="I4" t="str">
        <f>+Usuarios!$M$14</f>
        <v>LEONARDO ALFONSO PEREZ MEDINA</v>
      </c>
      <c r="J4" s="78">
        <f>+Usuarios!$Q$14</f>
        <v>45478</v>
      </c>
      <c r="K4" t="str">
        <f>+Usuarios!$H$16</f>
        <v>Si</v>
      </c>
      <c r="L4">
        <f>+Usuarios!$J$16</f>
        <v>43630</v>
      </c>
      <c r="M4" t="str">
        <f>+Usuarios!$M$16</f>
        <v>FABIO QUINTERO PERILLA</v>
      </c>
      <c r="N4">
        <f>+Usuarios!$Q$16</f>
        <v>44391</v>
      </c>
      <c r="O4" t="str">
        <f>+Usuarios!$H$18</f>
        <v>Si</v>
      </c>
      <c r="P4">
        <f>+Usuarios!$J$18</f>
        <v>42829</v>
      </c>
      <c r="Q4" t="str">
        <f>+Usuarios!$M$18</f>
        <v>YANIRA VILLAMIL SUZUNAGA</v>
      </c>
      <c r="R4">
        <f>+Usuarios!$Q$18</f>
        <v>45153</v>
      </c>
      <c r="S4" t="str">
        <f>+Usuarios!$H$20</f>
        <v>Si</v>
      </c>
      <c r="T4">
        <f>+Usuarios!$J$20</f>
        <v>45328</v>
      </c>
      <c r="U4" t="str">
        <f>+Usuarios!$M$20</f>
        <v>LUZ FRANCY BARRIOS RAMINEZ</v>
      </c>
      <c r="V4">
        <f>+Usuarios!$Q$20</f>
        <v>44742</v>
      </c>
      <c r="W4" t="str">
        <f>+Usuarios!$H$22</f>
        <v>Si</v>
      </c>
      <c r="X4">
        <f>+Usuarios!$J$22</f>
        <v>45548</v>
      </c>
      <c r="Y4" t="str">
        <f>+Usuarios!$M$22</f>
        <v>LEONARDO ALFONSO PEREZ MEDINA</v>
      </c>
      <c r="Z4">
        <f>+Usuarios!$Q$22</f>
        <v>45478</v>
      </c>
      <c r="AA4">
        <f>+Usuarios!E28</f>
        <v>0</v>
      </c>
      <c r="AB4">
        <f>+Abogados!Q6</f>
        <v>45700</v>
      </c>
      <c r="AC4">
        <f>+Abogados!E9</f>
        <v>151</v>
      </c>
      <c r="AD4">
        <f>+Abogados!H9</f>
        <v>151</v>
      </c>
      <c r="AE4">
        <f>+Abogados!K9</f>
        <v>30</v>
      </c>
      <c r="AF4">
        <f>+Abogados!N9</f>
        <v>30</v>
      </c>
      <c r="AG4">
        <f>+Abogados!I19</f>
        <v>37</v>
      </c>
      <c r="AH4">
        <f>+Abogados!I21</f>
        <v>29</v>
      </c>
      <c r="AI4">
        <f>+Abogados!I23</f>
        <v>22</v>
      </c>
      <c r="AJ4">
        <f>+Abogados!Q19</f>
        <v>65</v>
      </c>
      <c r="AK4">
        <f>+Abogados!Q21</f>
        <v>86</v>
      </c>
      <c r="AL4">
        <f>+Abogados!Q23</f>
        <v>0</v>
      </c>
      <c r="AM4">
        <f>+Abogados!Q25</f>
        <v>0</v>
      </c>
      <c r="AN4" t="str">
        <f>+Abogados!E30</f>
        <v xml:space="preserve">1) En relación con la "Cantidad de abogados litigando según jurídica" la Oficina Asesora Jurídica mediante 202510430000013073 del 10-02-2025 informó que al corte del segundo semestre contaba con 152 usuarios activos, incluyendo el usuario MIGRACIÓN.
2) Respecto a los "Abogados retirados de la entidad según jurídica segundo semestre la Oficina Asesora Jurídica informó "De acuerdo con el reporte del Sistema Único de Gestión e Información Litigiosa del Estado (eKOGUI), durante el segundo semestre de la vigencia 2024, se inactivaron un total de 30 usuarios.
En cuanto al numero de abogados retirados, la Oficina Asesora Jurídica no dispone de esta información, ya que el sistema eKOGUI no cuenta con una funcionalidad que permita contabilizar la desvinculación de abogados. Esto se debe a que la inactivación de un Usuario en el sistema no implica necesariamente su retiro". 
3) NC1 - Ítem abogados activos con nombre correcto: De la muestra  aleatoria de 38 registros, una vez revisado el reporte arrojado desde el Sistema Ekogui se identificó uno (1) incorrecto (correspondiente al No.111) que refleja en Ekogui el nombre Pablo Enrique Zamora Rojas con cédula 41526978 sin embargo para el mismo número de identificación en certificación de la Policía Nacional,  Procuraduría y Secop II el número pertenece a Florinda Rojas Reina, identificanda en el número de cédula registrado en el Sistema.
Criterios: Decreto 1069 de 2015. Artículo 2.2.3.4.1.13 Funciones comunes para los usuarios del Sistema Único de Gestión e Información Litigiosa del Estado – eKOGUI, Parágrafo ; Manual del Abogado - V00 septiembre de 2022-ANDJE, Numeral 2.3., inciso Tercero
4) Ítem abogados con correo electrónico correcto: De la verificación de la muestra (38 direcciones e-mail) se encontró que 9 de ellos contienen un dominio diferente a cuenta institucional icbf.gov.co.
5) NC2: Ítem fecha de nacimiento correcta: De la verificación en el sistema ekogui  rol abogado por número de cédula, se encuentran 15 registros sin diligenciamiento de datos - fecha de nacimiento y 1 con fecha 01-01-1900.
Criterios:  Decreto 1069 de 2015. Artículo 2.2.3.4.1.13 Funciones comunes para los usuarios del Sistema Único de Gestión e Información Litigiosa del Estado – eKOGUI, Parágrafo ; Manual del Abogado - V00 septiembre de 2022-ANDJE, Numeral 2.3.,  inciso Tercero
</v>
      </c>
      <c r="AO4">
        <f>+'Comité de conciliación'!P6</f>
        <v>45702</v>
      </c>
      <c r="AP4" t="str">
        <f>+'Comité de conciliación'!N8</f>
        <v>Si</v>
      </c>
      <c r="AQ4" t="str">
        <f>+'Comité de conciliación'!N10</f>
        <v>Si</v>
      </c>
      <c r="AR4">
        <f>+'Comité de conciliación'!J15</f>
        <v>0</v>
      </c>
      <c r="AS4">
        <f>+'Comité de conciliación'!L15</f>
        <v>0</v>
      </c>
      <c r="AT4">
        <f>+'Comité de conciliación'!J16</f>
        <v>11</v>
      </c>
      <c r="AU4">
        <f>+'Comité de conciliación'!L16</f>
        <v>86</v>
      </c>
      <c r="AV4">
        <f>+'Comité de conciliación'!J17</f>
        <v>6</v>
      </c>
      <c r="AW4">
        <f>+'Comité de conciliación'!L17</f>
        <v>17</v>
      </c>
      <c r="AX4">
        <f>+'Comité de conciliación'!J20</f>
        <v>2</v>
      </c>
      <c r="AY4">
        <f>+'Comité de conciliación'!J21</f>
        <v>1469</v>
      </c>
      <c r="AZ4">
        <f>+'Comité de conciliación'!J22</f>
        <v>634</v>
      </c>
      <c r="BA4" t="str">
        <f>+'Comité de conciliación'!E27</f>
        <v>1) NC3. Ítem "Procesos Judiciales con decisión del comité" Realizada la verificación de la base descargada desde el sistema Ekogui se identificó 1 registro con No. Ficha 133694 que no cuenta con información de la decisión del comité.
Criterios: Decreto 1069 de 2015. Artículo 2.2.3.4.1.13 Funciones comunes para los usuarios del Sistema Único de Gestión e Información Litigiosa del Estado – eKOGUI, Parágrafo; Manual del Abogado - V00 septiembre de 2022-ANDJE, Numeral 2.2., inciso 5 y Numeral 2.3., inciso Tercero</v>
      </c>
      <c r="BB4">
        <f>+Judiciales!S7</f>
        <v>45700</v>
      </c>
      <c r="BC4">
        <f>+Judiciales!L11</f>
        <v>3073</v>
      </c>
      <c r="BD4">
        <f>+Judiciales!L13</f>
        <v>3075</v>
      </c>
      <c r="BE4">
        <f>+Judiciales!L15</f>
        <v>1</v>
      </c>
      <c r="BF4">
        <f>+Judiciales!L20</f>
        <v>310</v>
      </c>
      <c r="BG4">
        <f>+Judiciales!L22</f>
        <v>235</v>
      </c>
      <c r="BH4">
        <f>+Judiciales!L27</f>
        <v>5795</v>
      </c>
      <c r="BI4">
        <f>+Judiciales!L29</f>
        <v>56</v>
      </c>
      <c r="BJ4">
        <f>+Judiciales!L39</f>
        <v>59</v>
      </c>
      <c r="BK4">
        <f>+Judiciales!L41</f>
        <v>46</v>
      </c>
      <c r="BL4">
        <f>+Judiciales!L43</f>
        <v>7</v>
      </c>
      <c r="BM4">
        <f>+Judiciales!L45</f>
        <v>6</v>
      </c>
      <c r="BN4">
        <f>+Judiciales!L47</f>
        <v>2</v>
      </c>
      <c r="BO4">
        <f>+Judiciales!U14</f>
        <v>5</v>
      </c>
      <c r="BP4">
        <f>+Judiciales!U16</f>
        <v>5</v>
      </c>
      <c r="BQ4">
        <f>+Judiciales!U18</f>
        <v>5</v>
      </c>
      <c r="BR4">
        <f>+Judiciales!U23</f>
        <v>2494</v>
      </c>
      <c r="BS4">
        <f>+Judiciales!U25</f>
        <v>2492</v>
      </c>
      <c r="BT4">
        <f>+Judiciales!U27</f>
        <v>1</v>
      </c>
      <c r="BU4">
        <f>+Judiciales!U29</f>
        <v>1</v>
      </c>
      <c r="BV4">
        <f>+Judiciales!S34</f>
        <v>377</v>
      </c>
      <c r="BW4">
        <f>+Judiciales!T34</f>
        <v>9</v>
      </c>
      <c r="BX4">
        <f>+Judiciales!S36</f>
        <v>531</v>
      </c>
      <c r="BY4">
        <f>+Judiciales!T36</f>
        <v>531</v>
      </c>
      <c r="BZ4">
        <f>+Judiciales!S38</f>
        <v>265</v>
      </c>
      <c r="CA4">
        <f>+Judiciales!T38</f>
        <v>265</v>
      </c>
      <c r="CB4">
        <f>+Judiciales!S40</f>
        <v>1320</v>
      </c>
      <c r="CC4">
        <f>+Judiciales!T40</f>
        <v>1319</v>
      </c>
      <c r="CD4" t="str">
        <f>+Judiciales!N45</f>
        <v>1) Para "Procesos activos al 31 de diciembre 2024 según jurídica".  De acuerdo con lo reportado por la OAJ en Memorando del 10/02/2025 Radicado No: 202510430000013073 numeral 5. se indican que la cantidad de procesos judiciales activos corresponden a 3.073
2) ítem De los procesos judiciales activos en e-kogui se identifican 3075. La OAJ frente a la diferencia mediante Radicado No: 202510430000019493 indicó " ....Respecto al proceso ID- 331248 a la fecha 31 de diciembre de 2024, se encontraba en estado TERMINADO, sin embargo, el proceso se activó el 11 de febrero de 2025, ya que se notificó el auto que ordenó el desarchive el proceso radicado  27001333300320130004900, por lo que se le asignó abogado para que radicase poder y ejerciese la defensa de los intereses jurídicos de la entidad.
Frente al proceso ID – 2026393 tal como consta en el reporte de procesos
TERMINADOS al 31 de diciembre de 2024; remitido por la Oficina Asesora
Jurídica, el proceso se encontraba en estado TERMINADO, sin embargo, la
abogada a cargo del proceso identificó que se había presentado recurso
ordinario de apelación contra el fallo de primera instancia, por lo que fue
necesario ACTIVAR nuevamente el proceso...."
3) En el ítem "Nombre Abogado Entidad" Consultado el reporte descargado el día 12/02/2025 desde Sistema  eKOGUI- procesos judiciales-home-activos se encontró que  1 proceso no contenía dato en la columna AQ "Nombre apoderado entidad" identificado en el ID: 1156358, el cual registra fecha de asignación del abogado el mismo día 12/02/2025.
4) En el ítem "Procesos Terminados en SEGUNDO Semestre 2024" se considera necesario precisar que conforme a lo indicado por la OAJ mediante Radicado 202510430000019493 del 21/02/2025, la dependencia en sus seguimientos internos toma y actualiza el estado a partir de la "Fecha de Registro última Actuación".
5) NC 4: Ítem: "Procesos eKOGUI-Calificación anterior al II Semestre-2024" se encontró 1 registro con calificación de riesgo anterior al segundo Semestre del 2024 correspondiente al ID 6666691 cuya fecha "Fecha Registro Última Actuación" se realiza 27/01/2025.
Criterios: Decreto 1069 de 2015. Artículo 2.2.3.4.1.13 Funciones comunes para los usuarios del Sistema Único de Gestión e Información Litigiosa del Estado – eKOGUI. Parágrafo; Manual del Abogado - V00 septiembre de 2022-ANDJE, Numeral 2.3., inciso Tercero y numeral 5.2, inciso Primero
6) NC 5: Ítem "Procesos eKOGUI-Sin Calificación" se identificó el ID 331248 sin fecha de calificación de riesgo registrada. 
Criterios: Decreto 1069 de 2015. Artículo 2.2.3.4.1.13 Funciones comunes para los usuarios del Sistema Único de Gestión e Información Litigiosa del Estado – eKOGUI. Parágrafo; Manual del Abogado - V00 septiembre de 2022-ANDJE, Numeral 2.2. inciso Sexto; Numeral 2.3., inciso Tercero y numeral 5.2, inciso Primero
7) NC6:  Ítem: Probabilidad de perder el caso remota: se encontró el ID 869699 con probabilidad de perder el caso remota y provisión contable mayor a cero; de otra parte se identificaron 2 registros con probabilidad Alta y con provisión contable en "0" que reportan monto en la columna "Valor Total Inicial de la Pretensiones Materiales" y con sentencia desfavorable de primera instancia, corresponden a los ID: 2095130, 2103769.
Criterios: Decreto 1069 de 2015. Artículo 2.2.3.4.1.13 Funciones comunes para los usuarios del Sistema Único de Gestión e Información Litigiosa del Estado – eKOGUI. Parágrafo; Manual del Abogado - V00 septiembre de 2022-ANDJE, Numeral 2.3., inciso Tercero y numeral 5.2, inciso Primero; MANUAL DE POLÍTICAS CONTABLES DEL ICBF BAJO EL MARCO NORMATIVO PARA ENTIDADES DE GOBIERNO, MO3.P31.GF del 26/09/2023,Versión 8, numeral 4.2.2.3. Provisiones; PROCEDIMIENTO PARA EJERCER LA DEFENSA EN DEMANDAS CONTENCIOSAS ADMINISTRATIVAS EN CONTRA DEL ICBF, P8.GJ del 01/02/2023, Versión 6, Actividad 23.</v>
      </c>
      <c r="CE4">
        <f>+Arbitramentos!O5</f>
        <v>45705</v>
      </c>
      <c r="CF4">
        <f>+Arbitramentos!L10</f>
        <v>0</v>
      </c>
      <c r="CG4">
        <f>+Arbitramentos!L12</f>
        <v>0</v>
      </c>
      <c r="CH4">
        <f>+Arbitramentos!U10</f>
        <v>7</v>
      </c>
      <c r="CI4">
        <f>+Arbitramentos!U12</f>
        <v>7</v>
      </c>
      <c r="CJ4">
        <f>+Arbitramentos!E20</f>
        <v>0</v>
      </c>
      <c r="CK4">
        <f>+Pagos!Q5</f>
        <v>45705</v>
      </c>
      <c r="CL4" t="str">
        <f>+Pagos!M6</f>
        <v>SÍ</v>
      </c>
      <c r="CM4">
        <f>+Pagos!E11</f>
        <v>971</v>
      </c>
      <c r="CN4" t="str">
        <f>+Pagos!E16</f>
        <v>1) En relación con los registros de pago correspondientes al segundo semestre 2024,  la OAJ en memorando 202510430000013073 del 10/02/2025 indicó "Frente a las dificultades que se presentan en el Módulo de Pago del Ekogui, se evidenció que no se cargan oportunamente los RPs, por el pago de Sentencias, lo anterior, no permite realizar la asociación de la Resolución de pago con el RP y con el proceso Judicial. Por lo anterior, mediante correo del 21 de diciembre de 2024, se solicitó a Soporte Ekogui, el cargue de los RPs, al módulo".
2) Consultada la información relación de pagos descargada desde Ekogui, se observan registros presupuestales hasta el mes de enero 2024, no  obstante mediante radicado No: 202510430000013073 del 10/02/2024 se indicó desde la OAJ que: "Frente a las dificultades que se presentan en el Módulo de Pago del Ekogui, se evidenció que no se cargan oportunamente los RPs, por el pago de Sentencias, lo
anterior, no permite realizar la asociación de la Resolución de pago con el RP y con el proceso Judicial.
Por lo anterior, mediante correo del 21 de diciembre de 2024, se solicitó a Soporte Ekogui, el cargue de los RPs, al módulo".</v>
      </c>
      <c r="CO4" t="str">
        <f>+Resumen!E9</f>
        <v>INSTITUTO COLOMBIANO DE BIENESTAR FAMILIAR - NIVEL CENTRAL-ICBF</v>
      </c>
      <c r="CP4">
        <f>+Resumen!E10</f>
        <v>0</v>
      </c>
      <c r="CQ4">
        <f>+Para_consolidar!R14</f>
        <v>0</v>
      </c>
    </row>
  </sheetData>
  <phoneticPr fontId="4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bcb6aa30c9ccf677db049cbbe5d6076e">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2d76a825e4c8cef7df41d19dc42b0a0b"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1BEBB3-9A00-4598-B911-01B9FF7F1E7C}">
  <ds:schemaRefs>
    <ds:schemaRef ds:uri="http://schemas.microsoft.com/office/2006/metadata/properties"/>
    <ds:schemaRef ds:uri="http://schemas.microsoft.com/office/infopath/2007/PartnerControls"/>
    <ds:schemaRef ds:uri="b1b5a5b6-0840-4c7e-a10d-280026b3afe6"/>
    <ds:schemaRef ds:uri="356bbcdc-10e5-4ba0-9c2f-0848e6eba7c0"/>
  </ds:schemaRefs>
</ds:datastoreItem>
</file>

<file path=customXml/itemProps2.xml><?xml version="1.0" encoding="utf-8"?>
<ds:datastoreItem xmlns:ds="http://schemas.openxmlformats.org/officeDocument/2006/customXml" ds:itemID="{415BD78D-6D1E-423E-8849-7AD3299F9151}"/>
</file>

<file path=customXml/itemProps3.xml><?xml version="1.0" encoding="utf-8"?>
<ds:datastoreItem xmlns:ds="http://schemas.openxmlformats.org/officeDocument/2006/customXml" ds:itemID="{A6B314B8-AA42-44B8-AD61-FF62431F56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Conciliación extrajudicial</vt:lpstr>
      <vt:lpstr>Comité de conciliación</vt:lpstr>
      <vt:lpstr>Judiciales</vt:lpstr>
      <vt:lpstr>Arbitramentos</vt:lpstr>
      <vt:lpstr>Pagos</vt:lpstr>
      <vt:lpstr>Para_consolidar</vt:lpstr>
      <vt:lpstr>Resumen</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Diana Paola Cetina Gomez</cp:lastModifiedBy>
  <cp:revision/>
  <dcterms:created xsi:type="dcterms:W3CDTF">2020-06-25T21:16:25Z</dcterms:created>
  <dcterms:modified xsi:type="dcterms:W3CDTF">2025-04-28T20:57:14Z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MediaServiceImageTags">
    <vt:lpwstr/>
  </property>
</Properties>
</file>